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defaultThemeVersion="124226"/>
  <mc:AlternateContent xmlns:mc="http://schemas.openxmlformats.org/markup-compatibility/2006">
    <mc:Choice Requires="x15">
      <x15ac:absPath xmlns:x15ac="http://schemas.microsoft.com/office/spreadsheetml/2010/11/ac" url="/Users/olga/Documents/Документы — iMac — Ольга/01_НИФИ/01_2022_Рейтинг/06_Рейтинг 2022/"/>
    </mc:Choice>
  </mc:AlternateContent>
  <xr:revisionPtr revIDLastSave="0" documentId="8_{49F6667F-BA0E-D04B-9D7F-304668D3AC1A}" xr6:coauthVersionLast="47" xr6:coauthVersionMax="47" xr10:uidLastSave="{00000000-0000-0000-0000-000000000000}"/>
  <bookViews>
    <workbookView xWindow="0" yWindow="500" windowWidth="35020" windowHeight="19540" tabRatio="847" xr2:uid="{00000000-000D-0000-FFFF-FFFF00000000}"/>
  </bookViews>
  <sheets>
    <sheet name="Рейтинг (раздел 1)" sheetId="87" r:id="rId1"/>
    <sheet name="Оценка (раздел 1)" sheetId="12" r:id="rId2"/>
    <sheet name="Методика (раздел 1)" sheetId="31" r:id="rId3"/>
    <sheet name="1.1" sheetId="79" r:id="rId4"/>
    <sheet name="1.2" sheetId="60" r:id="rId5"/>
    <sheet name="1.3" sheetId="61" r:id="rId6"/>
    <sheet name="1.4" sheetId="78" r:id="rId7"/>
    <sheet name="1.5" sheetId="70" r:id="rId8"/>
  </sheets>
  <definedNames>
    <definedName name="_xlnm._FilterDatabase" localSheetId="3" hidden="1">'1.1'!$A$6:$P$98</definedName>
    <definedName name="_xlnm._FilterDatabase" localSheetId="4" hidden="1">'1.2'!$A$6:$I$98</definedName>
    <definedName name="_xlnm._FilterDatabase" localSheetId="5" hidden="1">'1.3'!$A$6:$I$98</definedName>
    <definedName name="_xlnm._FilterDatabase" localSheetId="6" hidden="1">'1.4'!$A$7:$AA$101</definedName>
    <definedName name="_xlnm._FilterDatabase" localSheetId="7" hidden="1">'1.5'!$A$7:$M$102</definedName>
    <definedName name="_xlnm._FilterDatabase" localSheetId="1" hidden="1">'Оценка (раздел 1)'!$A$6:$I$99</definedName>
    <definedName name="_xlnm._FilterDatabase" localSheetId="0" hidden="1">'Рейтинг (раздел 1)'!$A$7:$I$95</definedName>
    <definedName name="_Toc262683" localSheetId="2">'Методика (раздел 1)'!$B$4</definedName>
    <definedName name="_Toc477267685" localSheetId="2">'Методика (раздел 1)'!#REF!</definedName>
    <definedName name="_Toc510692579" localSheetId="2">'Методика (раздел 1)'!$B$4</definedName>
    <definedName name="_xlnm.Print_Titles" localSheetId="3">'1.1'!$3:$5</definedName>
    <definedName name="_xlnm.Print_Titles" localSheetId="4">'1.2'!$3:$4</definedName>
    <definedName name="_xlnm.Print_Titles" localSheetId="5">'1.3'!$3:$5</definedName>
    <definedName name="_xlnm.Print_Titles" localSheetId="6">'1.4'!$3:$5</definedName>
    <definedName name="_xlnm.Print_Titles" localSheetId="7">'1.5'!$3:$6</definedName>
    <definedName name="_xlnm.Print_Titles" localSheetId="2">'Методика (раздел 1)'!$2:$3</definedName>
    <definedName name="_xlnm.Print_Titles" localSheetId="1">'Оценка (раздел 1)'!$A:$A,'Оценка (раздел 1)'!$3:$4</definedName>
    <definedName name="_xlnm.Print_Titles" localSheetId="0">'Рейтинг (раздел 1)'!$A:$A,'Рейтинг (раздел 1)'!$3:$4</definedName>
    <definedName name="_xlnm.Print_Area" localSheetId="3">'1.1'!$A$1:$P$98</definedName>
    <definedName name="_xlnm.Print_Area" localSheetId="4">'1.2'!$A$1:$I$98</definedName>
    <definedName name="_xlnm.Print_Area" localSheetId="5">'1.3'!$A$1:$I$98</definedName>
    <definedName name="_xlnm.Print_Area" localSheetId="6">'1.4'!$A$1:$AA$99</definedName>
    <definedName name="_xlnm.Print_Area" localSheetId="7">'1.5'!$A$1:$M$102</definedName>
    <definedName name="_xlnm.Print_Area" localSheetId="2">'Методика (раздел 1)'!$A$1:$E$37</definedName>
    <definedName name="_xlnm.Print_Area" localSheetId="1">'Оценка (раздел 1)'!$A$1:$I$99</definedName>
    <definedName name="_xlnm.Print_Area" localSheetId="0">'Рейтинг (раздел 1)'!$A$1:$I$95</definedName>
    <definedName name="sub_184133" localSheetId="2">'Методика (раздел 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3" i="87" l="1"/>
  <c r="H53" i="87"/>
  <c r="G53" i="87"/>
  <c r="F53" i="87"/>
  <c r="E53" i="87"/>
  <c r="I52" i="87"/>
  <c r="H52" i="87"/>
  <c r="G52" i="87"/>
  <c r="F52" i="87"/>
  <c r="E52" i="87"/>
  <c r="I51" i="87"/>
  <c r="H51" i="87"/>
  <c r="G51" i="87"/>
  <c r="F51" i="87"/>
  <c r="E51" i="87"/>
  <c r="I81" i="87"/>
  <c r="H81" i="87"/>
  <c r="G81" i="87"/>
  <c r="F81" i="87"/>
  <c r="E81" i="87"/>
  <c r="I80" i="87"/>
  <c r="H80" i="87"/>
  <c r="G80" i="87"/>
  <c r="F80" i="87"/>
  <c r="E80" i="87"/>
  <c r="I50" i="87"/>
  <c r="H50" i="87"/>
  <c r="G50" i="87"/>
  <c r="F50" i="87"/>
  <c r="E50" i="87"/>
  <c r="I39" i="87"/>
  <c r="H39" i="87"/>
  <c r="G39" i="87"/>
  <c r="F39" i="87"/>
  <c r="E39" i="87"/>
  <c r="I38" i="87"/>
  <c r="H38" i="87"/>
  <c r="G38" i="87"/>
  <c r="F38" i="87"/>
  <c r="E38" i="87"/>
  <c r="I64" i="87"/>
  <c r="H64" i="87"/>
  <c r="G64" i="87"/>
  <c r="F64" i="87"/>
  <c r="E64" i="87"/>
  <c r="I37" i="87"/>
  <c r="H37" i="87"/>
  <c r="G37" i="87"/>
  <c r="F37" i="87"/>
  <c r="E37" i="87"/>
  <c r="I36" i="87"/>
  <c r="H36" i="87"/>
  <c r="G36" i="87"/>
  <c r="F36" i="87"/>
  <c r="E36" i="87"/>
  <c r="I63" i="87"/>
  <c r="H63" i="87"/>
  <c r="G63" i="87"/>
  <c r="F63" i="87"/>
  <c r="E63" i="87"/>
  <c r="I49" i="87"/>
  <c r="H49" i="87"/>
  <c r="G49" i="87"/>
  <c r="F49" i="87"/>
  <c r="E49" i="87"/>
  <c r="I62" i="87"/>
  <c r="H62" i="87"/>
  <c r="G62" i="87"/>
  <c r="F62" i="87"/>
  <c r="E62" i="87"/>
  <c r="I18" i="87"/>
  <c r="H18" i="87"/>
  <c r="G18" i="87"/>
  <c r="F18" i="87"/>
  <c r="E18" i="87"/>
  <c r="I73" i="87"/>
  <c r="H73" i="87"/>
  <c r="G73" i="87"/>
  <c r="F73" i="87"/>
  <c r="E73" i="87"/>
  <c r="I61" i="87"/>
  <c r="H61" i="87"/>
  <c r="G61" i="87"/>
  <c r="F61" i="87"/>
  <c r="E61" i="87"/>
  <c r="D61" i="87" s="1"/>
  <c r="I79" i="87"/>
  <c r="H79" i="87"/>
  <c r="G79" i="87"/>
  <c r="F79" i="87"/>
  <c r="E79" i="87"/>
  <c r="I35" i="87"/>
  <c r="H35" i="87"/>
  <c r="G35" i="87"/>
  <c r="F35" i="87"/>
  <c r="E35" i="87"/>
  <c r="I78" i="87"/>
  <c r="H78" i="87"/>
  <c r="G78" i="87"/>
  <c r="F78" i="87"/>
  <c r="E78" i="87"/>
  <c r="I34" i="87"/>
  <c r="H34" i="87"/>
  <c r="G34" i="87"/>
  <c r="F34" i="87"/>
  <c r="E34" i="87"/>
  <c r="I60" i="87"/>
  <c r="H60" i="87"/>
  <c r="G60" i="87"/>
  <c r="F60" i="87"/>
  <c r="E60" i="87"/>
  <c r="I17" i="87"/>
  <c r="H17" i="87"/>
  <c r="G17" i="87"/>
  <c r="F17" i="87"/>
  <c r="E17" i="87"/>
  <c r="I48" i="87"/>
  <c r="H48" i="87"/>
  <c r="G48" i="87"/>
  <c r="F48" i="87"/>
  <c r="E48" i="87"/>
  <c r="I47" i="87"/>
  <c r="H47" i="87"/>
  <c r="G47" i="87"/>
  <c r="F47" i="87"/>
  <c r="E47" i="87"/>
  <c r="D47" i="87" s="1"/>
  <c r="I72" i="87"/>
  <c r="H72" i="87"/>
  <c r="G72" i="87"/>
  <c r="F72" i="87"/>
  <c r="E72" i="87"/>
  <c r="I88" i="87"/>
  <c r="H88" i="87"/>
  <c r="G88" i="87"/>
  <c r="F88" i="87"/>
  <c r="E88" i="87"/>
  <c r="I87" i="87"/>
  <c r="H87" i="87"/>
  <c r="G87" i="87"/>
  <c r="F87" i="87"/>
  <c r="E87" i="87"/>
  <c r="I16" i="87"/>
  <c r="H16" i="87"/>
  <c r="G16" i="87"/>
  <c r="F16" i="87"/>
  <c r="E16" i="87"/>
  <c r="I85" i="87"/>
  <c r="H85" i="87"/>
  <c r="G85" i="87"/>
  <c r="F85" i="87"/>
  <c r="E85" i="87"/>
  <c r="I71" i="87"/>
  <c r="H71" i="87"/>
  <c r="G71" i="87"/>
  <c r="F71" i="87"/>
  <c r="E71" i="87"/>
  <c r="I33" i="87"/>
  <c r="H33" i="87"/>
  <c r="G33" i="87"/>
  <c r="F33" i="87"/>
  <c r="E33" i="87"/>
  <c r="I15" i="87"/>
  <c r="H15" i="87"/>
  <c r="G15" i="87"/>
  <c r="F15" i="87"/>
  <c r="E15" i="87"/>
  <c r="I32" i="87"/>
  <c r="H32" i="87"/>
  <c r="G32" i="87"/>
  <c r="F32" i="87"/>
  <c r="E32" i="87"/>
  <c r="I92" i="87"/>
  <c r="H92" i="87"/>
  <c r="G92" i="87"/>
  <c r="F92" i="87"/>
  <c r="E92" i="87"/>
  <c r="I31" i="87"/>
  <c r="H31" i="87"/>
  <c r="G31" i="87"/>
  <c r="F31" i="87"/>
  <c r="E31" i="87"/>
  <c r="I46" i="87"/>
  <c r="H46" i="87"/>
  <c r="G46" i="87"/>
  <c r="F46" i="87"/>
  <c r="E46" i="87"/>
  <c r="I70" i="87"/>
  <c r="H70" i="87"/>
  <c r="G70" i="87"/>
  <c r="F70" i="87"/>
  <c r="E70" i="87"/>
  <c r="I93" i="87"/>
  <c r="H93" i="87"/>
  <c r="G93" i="87"/>
  <c r="F93" i="87"/>
  <c r="E93" i="87"/>
  <c r="I30" i="87"/>
  <c r="H30" i="87"/>
  <c r="G30" i="87"/>
  <c r="F30" i="87"/>
  <c r="E30" i="87"/>
  <c r="I14" i="87"/>
  <c r="H14" i="87"/>
  <c r="G14" i="87"/>
  <c r="F14" i="87"/>
  <c r="E14" i="87"/>
  <c r="I13" i="87"/>
  <c r="H13" i="87"/>
  <c r="G13" i="87"/>
  <c r="F13" i="87"/>
  <c r="E13" i="87"/>
  <c r="I59" i="87"/>
  <c r="H59" i="87"/>
  <c r="G59" i="87"/>
  <c r="F59" i="87"/>
  <c r="E59" i="87"/>
  <c r="I84" i="87"/>
  <c r="H84" i="87"/>
  <c r="G84" i="87"/>
  <c r="F84" i="87"/>
  <c r="E84" i="87"/>
  <c r="I83" i="87"/>
  <c r="H83" i="87"/>
  <c r="G83" i="87"/>
  <c r="F83" i="87"/>
  <c r="E83" i="87"/>
  <c r="I45" i="87"/>
  <c r="H45" i="87"/>
  <c r="G45" i="87"/>
  <c r="F45" i="87"/>
  <c r="E45" i="87"/>
  <c r="I82" i="87"/>
  <c r="H82" i="87"/>
  <c r="G82" i="87"/>
  <c r="F82" i="87"/>
  <c r="E82" i="87"/>
  <c r="I86" i="87"/>
  <c r="H86" i="87"/>
  <c r="G86" i="87"/>
  <c r="F86" i="87"/>
  <c r="E86" i="87"/>
  <c r="I65" i="87"/>
  <c r="H65" i="87"/>
  <c r="G65" i="87"/>
  <c r="F65" i="87"/>
  <c r="E65" i="87"/>
  <c r="I12" i="87"/>
  <c r="H12" i="87"/>
  <c r="G12" i="87"/>
  <c r="F12" i="87"/>
  <c r="E12" i="87"/>
  <c r="I91" i="87"/>
  <c r="H91" i="87"/>
  <c r="G91" i="87"/>
  <c r="F91" i="87"/>
  <c r="E91" i="87"/>
  <c r="I77" i="87"/>
  <c r="H77" i="87"/>
  <c r="G77" i="87"/>
  <c r="F77" i="87"/>
  <c r="E77" i="87"/>
  <c r="I11" i="87"/>
  <c r="H11" i="87"/>
  <c r="G11" i="87"/>
  <c r="F11" i="87"/>
  <c r="E11" i="87"/>
  <c r="I29" i="87"/>
  <c r="H29" i="87"/>
  <c r="G29" i="87"/>
  <c r="F29" i="87"/>
  <c r="E29" i="87"/>
  <c r="I28" i="87"/>
  <c r="H28" i="87"/>
  <c r="G28" i="87"/>
  <c r="F28" i="87"/>
  <c r="E28" i="87"/>
  <c r="I44" i="87"/>
  <c r="H44" i="87"/>
  <c r="G44" i="87"/>
  <c r="F44" i="87"/>
  <c r="E44" i="87"/>
  <c r="I10" i="87"/>
  <c r="H10" i="87"/>
  <c r="G10" i="87"/>
  <c r="F10" i="87"/>
  <c r="E10" i="87"/>
  <c r="I40" i="87"/>
  <c r="H40" i="87"/>
  <c r="G40" i="87"/>
  <c r="F40" i="87"/>
  <c r="E40" i="87"/>
  <c r="I69" i="87"/>
  <c r="H69" i="87"/>
  <c r="G69" i="87"/>
  <c r="F69" i="87"/>
  <c r="E69" i="87"/>
  <c r="I58" i="87"/>
  <c r="H58" i="87"/>
  <c r="G58" i="87"/>
  <c r="F58" i="87"/>
  <c r="E58" i="87"/>
  <c r="I43" i="87"/>
  <c r="H43" i="87"/>
  <c r="G43" i="87"/>
  <c r="F43" i="87"/>
  <c r="E43" i="87"/>
  <c r="I68" i="87"/>
  <c r="H68" i="87"/>
  <c r="G68" i="87"/>
  <c r="F68" i="87"/>
  <c r="E68" i="87"/>
  <c r="I76" i="87"/>
  <c r="H76" i="87"/>
  <c r="G76" i="87"/>
  <c r="F76" i="87"/>
  <c r="E76" i="87"/>
  <c r="I27" i="87"/>
  <c r="H27" i="87"/>
  <c r="G27" i="87"/>
  <c r="F27" i="87"/>
  <c r="E27" i="87"/>
  <c r="I42" i="87"/>
  <c r="H42" i="87"/>
  <c r="G42" i="87"/>
  <c r="F42" i="87"/>
  <c r="E42" i="87"/>
  <c r="D42" i="87" s="1"/>
  <c r="I75" i="87"/>
  <c r="H75" i="87"/>
  <c r="G75" i="87"/>
  <c r="F75" i="87"/>
  <c r="E75" i="87"/>
  <c r="I26" i="87"/>
  <c r="H26" i="87"/>
  <c r="G26" i="87"/>
  <c r="F26" i="87"/>
  <c r="E26" i="87"/>
  <c r="I89" i="87"/>
  <c r="H89" i="87"/>
  <c r="G89" i="87"/>
  <c r="F89" i="87"/>
  <c r="E89" i="87"/>
  <c r="I57" i="87"/>
  <c r="H57" i="87"/>
  <c r="G57" i="87"/>
  <c r="F57" i="87"/>
  <c r="E57" i="87"/>
  <c r="I25" i="87"/>
  <c r="H25" i="87"/>
  <c r="G25" i="87"/>
  <c r="F25" i="87"/>
  <c r="E25" i="87"/>
  <c r="D25" i="87" s="1"/>
  <c r="I56" i="87"/>
  <c r="H56" i="87"/>
  <c r="G56" i="87"/>
  <c r="F56" i="87"/>
  <c r="E56" i="87"/>
  <c r="I41" i="87"/>
  <c r="H41" i="87"/>
  <c r="G41" i="87"/>
  <c r="F41" i="87"/>
  <c r="E41" i="87"/>
  <c r="I67" i="87"/>
  <c r="H67" i="87"/>
  <c r="G67" i="87"/>
  <c r="F67" i="87"/>
  <c r="E67" i="87"/>
  <c r="I66" i="87"/>
  <c r="H66" i="87"/>
  <c r="G66" i="87"/>
  <c r="F66" i="87"/>
  <c r="E66" i="87"/>
  <c r="I94" i="87"/>
  <c r="H94" i="87"/>
  <c r="G94" i="87"/>
  <c r="F94" i="87"/>
  <c r="E94" i="87"/>
  <c r="I24" i="87"/>
  <c r="H24" i="87"/>
  <c r="G24" i="87"/>
  <c r="F24" i="87"/>
  <c r="E24" i="87"/>
  <c r="I23" i="87"/>
  <c r="H23" i="87"/>
  <c r="G23" i="87"/>
  <c r="F23" i="87"/>
  <c r="E23" i="87"/>
  <c r="I9" i="87"/>
  <c r="H9" i="87"/>
  <c r="G9" i="87"/>
  <c r="F9" i="87"/>
  <c r="E9" i="87"/>
  <c r="I22" i="87"/>
  <c r="H22" i="87"/>
  <c r="G22" i="87"/>
  <c r="F22" i="87"/>
  <c r="E22" i="87"/>
  <c r="I8" i="87"/>
  <c r="H8" i="87"/>
  <c r="G8" i="87"/>
  <c r="F8" i="87"/>
  <c r="E8" i="87"/>
  <c r="I21" i="87"/>
  <c r="H21" i="87"/>
  <c r="G21" i="87"/>
  <c r="F21" i="87"/>
  <c r="E21" i="87"/>
  <c r="I20" i="87"/>
  <c r="H20" i="87"/>
  <c r="G20" i="87"/>
  <c r="F20" i="87"/>
  <c r="E20" i="87"/>
  <c r="I7" i="87"/>
  <c r="H7" i="87"/>
  <c r="G7" i="87"/>
  <c r="F7" i="87"/>
  <c r="E7" i="87"/>
  <c r="I19" i="87"/>
  <c r="H19" i="87"/>
  <c r="G19" i="87"/>
  <c r="F19" i="87"/>
  <c r="E19" i="87"/>
  <c r="I55" i="87"/>
  <c r="H55" i="87"/>
  <c r="G55" i="87"/>
  <c r="F55" i="87"/>
  <c r="E55" i="87"/>
  <c r="D5" i="87"/>
  <c r="C34" i="87" s="1"/>
  <c r="D71" i="87" l="1"/>
  <c r="D78" i="87"/>
  <c r="D56" i="87"/>
  <c r="D82" i="87"/>
  <c r="C56" i="87"/>
  <c r="B56" i="87" s="1"/>
  <c r="C19" i="87"/>
  <c r="D51" i="87"/>
  <c r="D13" i="87"/>
  <c r="D75" i="87"/>
  <c r="C94" i="87"/>
  <c r="D38" i="87"/>
  <c r="D8" i="87"/>
  <c r="D68" i="87"/>
  <c r="D10" i="87"/>
  <c r="D89" i="87"/>
  <c r="D40" i="87"/>
  <c r="C22" i="87"/>
  <c r="D72" i="87"/>
  <c r="D39" i="87"/>
  <c r="D21" i="87"/>
  <c r="D86" i="87"/>
  <c r="D79" i="87"/>
  <c r="B79" i="87" s="1"/>
  <c r="D49" i="87"/>
  <c r="C24" i="87"/>
  <c r="C55" i="87"/>
  <c r="C7" i="87"/>
  <c r="D67" i="87"/>
  <c r="C25" i="87"/>
  <c r="B25" i="87" s="1"/>
  <c r="C42" i="87"/>
  <c r="D27" i="87"/>
  <c r="D44" i="87"/>
  <c r="D77" i="87"/>
  <c r="C93" i="87"/>
  <c r="C92" i="87"/>
  <c r="D32" i="87"/>
  <c r="C71" i="87"/>
  <c r="B71" i="87" s="1"/>
  <c r="D85" i="87"/>
  <c r="C61" i="87"/>
  <c r="B61" i="87" s="1"/>
  <c r="D73" i="87"/>
  <c r="C49" i="87"/>
  <c r="D63" i="87"/>
  <c r="C64" i="87"/>
  <c r="C81" i="87"/>
  <c r="D52" i="87"/>
  <c r="C75" i="87"/>
  <c r="C43" i="87"/>
  <c r="C10" i="87"/>
  <c r="B10" i="87" s="1"/>
  <c r="C11" i="87"/>
  <c r="C65" i="87"/>
  <c r="C84" i="87"/>
  <c r="C88" i="87"/>
  <c r="C60" i="87"/>
  <c r="D11" i="87"/>
  <c r="C30" i="87"/>
  <c r="D93" i="87"/>
  <c r="C31" i="87"/>
  <c r="C33" i="87"/>
  <c r="C79" i="87"/>
  <c r="C62" i="87"/>
  <c r="C37" i="87"/>
  <c r="C80" i="87"/>
  <c r="D81" i="87"/>
  <c r="C53" i="87"/>
  <c r="D22" i="87"/>
  <c r="D66" i="87"/>
  <c r="C68" i="87"/>
  <c r="D58" i="87"/>
  <c r="C40" i="87"/>
  <c r="C29" i="87"/>
  <c r="C12" i="87"/>
  <c r="C83" i="87"/>
  <c r="D30" i="87"/>
  <c r="D31" i="87"/>
  <c r="C87" i="87"/>
  <c r="C17" i="87"/>
  <c r="D53" i="87"/>
  <c r="C41" i="87"/>
  <c r="C35" i="87"/>
  <c r="C36" i="87"/>
  <c r="D64" i="87"/>
  <c r="B64" i="87" s="1"/>
  <c r="C50" i="87"/>
  <c r="C52" i="87"/>
  <c r="C18" i="87"/>
  <c r="C23" i="87"/>
  <c r="C67" i="87"/>
  <c r="C89" i="87"/>
  <c r="C76" i="87"/>
  <c r="C69" i="87"/>
  <c r="C28" i="87"/>
  <c r="C91" i="87"/>
  <c r="D12" i="87"/>
  <c r="C45" i="87"/>
  <c r="C13" i="87"/>
  <c r="D46" i="87"/>
  <c r="B46" i="87" s="1"/>
  <c r="D15" i="87"/>
  <c r="B15" i="87" s="1"/>
  <c r="C16" i="87"/>
  <c r="D87" i="87"/>
  <c r="C48" i="87"/>
  <c r="D17" i="87"/>
  <c r="B17" i="87" s="1"/>
  <c r="C78" i="87"/>
  <c r="B78" i="87" s="1"/>
  <c r="D35" i="87"/>
  <c r="D37" i="87"/>
  <c r="C39" i="87"/>
  <c r="D50" i="87"/>
  <c r="C8" i="87"/>
  <c r="C26" i="87"/>
  <c r="D84" i="87"/>
  <c r="C46" i="87"/>
  <c r="C15" i="87"/>
  <c r="D55" i="87"/>
  <c r="C20" i="87"/>
  <c r="D69" i="87"/>
  <c r="B69" i="87" s="1"/>
  <c r="C82" i="87"/>
  <c r="C70" i="87"/>
  <c r="C32" i="87"/>
  <c r="B32" i="87" s="1"/>
  <c r="D33" i="87"/>
  <c r="C47" i="87"/>
  <c r="D48" i="87"/>
  <c r="C73" i="87"/>
  <c r="B73" i="87" s="1"/>
  <c r="C63" i="87"/>
  <c r="C38" i="87"/>
  <c r="C51" i="87"/>
  <c r="C21" i="87"/>
  <c r="C14" i="87"/>
  <c r="C9" i="87"/>
  <c r="C66" i="87"/>
  <c r="D41" i="87"/>
  <c r="B41" i="87" s="1"/>
  <c r="C57" i="87"/>
  <c r="C27" i="87"/>
  <c r="D76" i="87"/>
  <c r="C58" i="87"/>
  <c r="C44" i="87"/>
  <c r="D28" i="87"/>
  <c r="C77" i="87"/>
  <c r="C86" i="87"/>
  <c r="B86" i="87" s="1"/>
  <c r="C59" i="87"/>
  <c r="C85" i="87"/>
  <c r="C72" i="87"/>
  <c r="B72" i="87" s="1"/>
  <c r="D18" i="87"/>
  <c r="D91" i="87"/>
  <c r="D92" i="87"/>
  <c r="D16" i="87"/>
  <c r="D80" i="87"/>
  <c r="D19" i="87"/>
  <c r="D94" i="87"/>
  <c r="B94" i="87" s="1"/>
  <c r="D57" i="87"/>
  <c r="D45" i="87"/>
  <c r="D14" i="87"/>
  <c r="B14" i="87" s="1"/>
  <c r="D24" i="87"/>
  <c r="D59" i="87"/>
  <c r="D23" i="87"/>
  <c r="D26" i="87"/>
  <c r="D29" i="87"/>
  <c r="D65" i="87"/>
  <c r="D70" i="87"/>
  <c r="D88" i="87"/>
  <c r="D34" i="87"/>
  <c r="B34" i="87" s="1"/>
  <c r="D43" i="87"/>
  <c r="B43" i="87" s="1"/>
  <c r="D62" i="87"/>
  <c r="D7" i="87"/>
  <c r="D20" i="87"/>
  <c r="D9" i="87"/>
  <c r="D83" i="87"/>
  <c r="D60" i="87"/>
  <c r="D36" i="87"/>
  <c r="B38" i="87"/>
  <c r="B42" i="87"/>
  <c r="B47" i="87"/>
  <c r="B19" i="87" l="1"/>
  <c r="B30" i="87"/>
  <c r="B49" i="87"/>
  <c r="B13" i="87"/>
  <c r="B82" i="87"/>
  <c r="B89" i="87"/>
  <c r="B21" i="87"/>
  <c r="B8" i="87"/>
  <c r="B44" i="87"/>
  <c r="B39" i="87"/>
  <c r="B24" i="87"/>
  <c r="B40" i="87"/>
  <c r="B45" i="87"/>
  <c r="B57" i="87"/>
  <c r="B51" i="87"/>
  <c r="B68" i="87"/>
  <c r="B27" i="87"/>
  <c r="B87" i="87"/>
  <c r="B48" i="87"/>
  <c r="B55" i="87"/>
  <c r="B37" i="87"/>
  <c r="B93" i="87"/>
  <c r="B59" i="87"/>
  <c r="B22" i="87"/>
  <c r="B36" i="87"/>
  <c r="B92" i="87"/>
  <c r="B60" i="87"/>
  <c r="B88" i="87"/>
  <c r="B91" i="87"/>
  <c r="B81" i="87"/>
  <c r="B62" i="87"/>
  <c r="B50" i="87"/>
  <c r="B16" i="87"/>
  <c r="B28" i="87"/>
  <c r="B70" i="87"/>
  <c r="B18" i="87"/>
  <c r="B75" i="87"/>
  <c r="B63" i="87"/>
  <c r="B12" i="87"/>
  <c r="B33" i="87"/>
  <c r="B52" i="87"/>
  <c r="B76" i="87"/>
  <c r="B26" i="87"/>
  <c r="B67" i="87"/>
  <c r="B77" i="87"/>
  <c r="B65" i="87"/>
  <c r="B53" i="87"/>
  <c r="B20" i="87"/>
  <c r="B29" i="87"/>
  <c r="B58" i="87"/>
  <c r="B35" i="87"/>
  <c r="B11" i="87"/>
  <c r="B9" i="87"/>
  <c r="B84" i="87"/>
  <c r="B7" i="87"/>
  <c r="B83" i="87"/>
  <c r="B23" i="87"/>
  <c r="B80" i="87"/>
  <c r="B31" i="87"/>
  <c r="B66" i="87"/>
  <c r="B85" i="87"/>
  <c r="M65" i="78" l="1"/>
  <c r="C48" i="70"/>
  <c r="G92" i="70" l="1"/>
  <c r="G79" i="70" l="1"/>
  <c r="H79" i="70" s="1"/>
  <c r="G43" i="70"/>
  <c r="F43" i="70"/>
  <c r="G35" i="70"/>
  <c r="H35" i="70" s="1"/>
  <c r="H33" i="70"/>
  <c r="G31" i="70"/>
  <c r="H31" i="70" s="1"/>
  <c r="G24" i="70"/>
  <c r="H20" i="70"/>
  <c r="H92" i="70"/>
  <c r="H96" i="70"/>
  <c r="H76" i="70"/>
  <c r="H50" i="70"/>
  <c r="H39" i="70"/>
  <c r="G16" i="70"/>
  <c r="I23" i="78"/>
  <c r="R74" i="78"/>
  <c r="T9" i="78"/>
  <c r="H43" i="70" l="1"/>
  <c r="M98" i="78"/>
  <c r="T98" i="78" s="1"/>
  <c r="M97" i="78"/>
  <c r="T97" i="78" s="1"/>
  <c r="V97" i="78" s="1"/>
  <c r="M95" i="78"/>
  <c r="T95" i="78" s="1"/>
  <c r="M91" i="78"/>
  <c r="T91" i="78" s="1"/>
  <c r="M89" i="78"/>
  <c r="T89" i="78" s="1"/>
  <c r="M87" i="78"/>
  <c r="T87" i="78" s="1"/>
  <c r="T82" i="78"/>
  <c r="M80" i="78"/>
  <c r="T80" i="78" s="1"/>
  <c r="M79" i="78"/>
  <c r="T79" i="78" s="1"/>
  <c r="T78" i="78"/>
  <c r="M74" i="78"/>
  <c r="M61" i="78"/>
  <c r="T61" i="78" s="1"/>
  <c r="M57" i="78"/>
  <c r="T57" i="78" s="1"/>
  <c r="M51" i="78"/>
  <c r="T51" i="78" s="1"/>
  <c r="M40" i="78"/>
  <c r="T40" i="78" s="1"/>
  <c r="M34" i="78"/>
  <c r="T34" i="78" s="1"/>
  <c r="M33" i="78"/>
  <c r="T33" i="78" s="1"/>
  <c r="M30" i="78"/>
  <c r="T30" i="78" s="1"/>
  <c r="M28" i="78"/>
  <c r="T28" i="78" s="1"/>
  <c r="T27" i="78"/>
  <c r="M21" i="78"/>
  <c r="T21" i="78" s="1"/>
  <c r="M11" i="78"/>
  <c r="T11" i="78" s="1"/>
  <c r="M13" i="78"/>
  <c r="T13" i="78" s="1"/>
  <c r="L96" i="78"/>
  <c r="I94" i="78"/>
  <c r="O86" i="78"/>
  <c r="L86" i="78"/>
  <c r="K86" i="78"/>
  <c r="J86" i="78"/>
  <c r="I86" i="78"/>
  <c r="T76" i="78"/>
  <c r="T72" i="78"/>
  <c r="T71" i="78"/>
  <c r="T69" i="78"/>
  <c r="V69" i="78" s="1"/>
  <c r="T63" i="78"/>
  <c r="I64" i="78"/>
  <c r="M64" i="78" s="1"/>
  <c r="J62" i="78"/>
  <c r="I62" i="78"/>
  <c r="I59" i="78"/>
  <c r="T59" i="78" s="1"/>
  <c r="I44" i="78"/>
  <c r="T44" i="78" s="1"/>
  <c r="J43" i="78"/>
  <c r="I41" i="78"/>
  <c r="O41" i="78"/>
  <c r="K41" i="78"/>
  <c r="J41" i="78"/>
  <c r="T35" i="78"/>
  <c r="T85" i="78"/>
  <c r="T83" i="78"/>
  <c r="T73" i="78"/>
  <c r="M67" i="78"/>
  <c r="T67" i="78" s="1"/>
  <c r="M50" i="78"/>
  <c r="T50" i="78" s="1"/>
  <c r="M32" i="78"/>
  <c r="T17" i="78"/>
  <c r="H24" i="78"/>
  <c r="I24" i="78"/>
  <c r="I20" i="78"/>
  <c r="M20" i="78" s="1"/>
  <c r="Q19" i="78"/>
  <c r="K19" i="78"/>
  <c r="J19" i="78"/>
  <c r="H19" i="78"/>
  <c r="I18" i="78"/>
  <c r="T10" i="78"/>
  <c r="T12" i="78"/>
  <c r="T22" i="78"/>
  <c r="T42" i="78"/>
  <c r="T45" i="78"/>
  <c r="T48" i="78"/>
  <c r="T49" i="78"/>
  <c r="T52" i="78"/>
  <c r="T53" i="78"/>
  <c r="T54" i="78"/>
  <c r="T65" i="78"/>
  <c r="T66" i="78"/>
  <c r="T68" i="78"/>
  <c r="T81" i="78"/>
  <c r="T84" i="78"/>
  <c r="T94" i="78"/>
  <c r="T99" i="78"/>
  <c r="T8" i="78"/>
  <c r="J25" i="78"/>
  <c r="K25" i="78"/>
  <c r="I25" i="78"/>
  <c r="T25" i="78" s="1"/>
  <c r="T19" i="78" l="1"/>
  <c r="T20" i="78"/>
  <c r="T18" i="78"/>
  <c r="H9" i="78"/>
  <c r="I96" i="78"/>
  <c r="R93" i="78"/>
  <c r="O93" i="78"/>
  <c r="H93" i="78"/>
  <c r="L93" i="78"/>
  <c r="K93" i="78"/>
  <c r="J93" i="78"/>
  <c r="I93" i="78"/>
  <c r="I92" i="78"/>
  <c r="M92" i="78" s="1"/>
  <c r="I90" i="78"/>
  <c r="M90" i="78" s="1"/>
  <c r="V87" i="78"/>
  <c r="V80" i="78"/>
  <c r="V99" i="78"/>
  <c r="V98" i="78"/>
  <c r="V95" i="78"/>
  <c r="V94" i="78"/>
  <c r="V91" i="78"/>
  <c r="V89" i="78"/>
  <c r="V85" i="78"/>
  <c r="V84" i="78"/>
  <c r="V83" i="78"/>
  <c r="V82" i="78"/>
  <c r="V81" i="78"/>
  <c r="V79" i="78"/>
  <c r="V78" i="78"/>
  <c r="Q75" i="78"/>
  <c r="V76" i="78"/>
  <c r="V73" i="78"/>
  <c r="V72" i="78"/>
  <c r="V71" i="78"/>
  <c r="V68" i="78"/>
  <c r="Q62" i="78"/>
  <c r="I60" i="78"/>
  <c r="V66" i="78"/>
  <c r="V65" i="78"/>
  <c r="V63" i="78"/>
  <c r="V61" i="78"/>
  <c r="V59" i="78"/>
  <c r="R56" i="78"/>
  <c r="Q56" i="78"/>
  <c r="L56" i="78"/>
  <c r="K56" i="78"/>
  <c r="J56" i="78"/>
  <c r="I56" i="78"/>
  <c r="V54" i="78"/>
  <c r="V53" i="78"/>
  <c r="V52" i="78"/>
  <c r="V51" i="78"/>
  <c r="V49" i="78"/>
  <c r="V48" i="78"/>
  <c r="M93" i="78" l="1"/>
  <c r="T74" i="78"/>
  <c r="V74" i="78" s="1"/>
  <c r="T92" i="78"/>
  <c r="V92" i="78" s="1"/>
  <c r="T96" i="78"/>
  <c r="V96" i="78" s="1"/>
  <c r="T62" i="78"/>
  <c r="V62" i="78" s="1"/>
  <c r="T86" i="78"/>
  <c r="V86" i="78" s="1"/>
  <c r="T60" i="78"/>
  <c r="V60" i="78" s="1"/>
  <c r="T75" i="78"/>
  <c r="V75" i="78" s="1"/>
  <c r="T93" i="78"/>
  <c r="V93" i="78" s="1"/>
  <c r="Q46" i="78"/>
  <c r="V45" i="78"/>
  <c r="V44" i="78"/>
  <c r="V42" i="78"/>
  <c r="V40" i="78"/>
  <c r="U41" i="78"/>
  <c r="I36" i="78" l="1"/>
  <c r="V35" i="78"/>
  <c r="V33" i="78"/>
  <c r="Q32" i="78"/>
  <c r="T32" i="78" s="1"/>
  <c r="U29" i="78"/>
  <c r="L29" i="78"/>
  <c r="K29" i="78"/>
  <c r="J29" i="78"/>
  <c r="I29" i="78"/>
  <c r="T36" i="78" l="1"/>
  <c r="V36" i="78" s="1"/>
  <c r="V30" i="78"/>
  <c r="V28" i="78"/>
  <c r="V27" i="78"/>
  <c r="U23" i="78" l="1"/>
  <c r="L23" i="78"/>
  <c r="K23" i="78"/>
  <c r="J23" i="78"/>
  <c r="L24" i="78"/>
  <c r="K24" i="78"/>
  <c r="J24" i="78"/>
  <c r="M24" i="78" s="1"/>
  <c r="U24" i="78"/>
  <c r="U20" i="78"/>
  <c r="U19" i="78"/>
  <c r="U16" i="78"/>
  <c r="L16" i="78"/>
  <c r="K16" i="78"/>
  <c r="J16" i="78"/>
  <c r="I16" i="78"/>
  <c r="H16" i="78"/>
  <c r="M16" i="78" s="1"/>
  <c r="U15" i="78"/>
  <c r="Q15" i="78"/>
  <c r="L15" i="78"/>
  <c r="K15" i="78"/>
  <c r="J15" i="78"/>
  <c r="I15" i="78"/>
  <c r="Q64" i="78"/>
  <c r="I58" i="78"/>
  <c r="O56" i="78"/>
  <c r="H56" i="78"/>
  <c r="K46" i="78"/>
  <c r="T46" i="78"/>
  <c r="L43" i="78"/>
  <c r="K43" i="78"/>
  <c r="I43" i="78"/>
  <c r="L41" i="78"/>
  <c r="T41" i="78" s="1"/>
  <c r="K39" i="78"/>
  <c r="T39" i="78"/>
  <c r="Q37" i="78"/>
  <c r="I31" i="78"/>
  <c r="H29" i="78"/>
  <c r="M29" i="78" s="1"/>
  <c r="T29" i="78" s="1"/>
  <c r="V29" i="78" s="1"/>
  <c r="Q24" i="78"/>
  <c r="Q23" i="78"/>
  <c r="O23" i="78"/>
  <c r="H23" i="78"/>
  <c r="O15" i="78"/>
  <c r="H15" i="78"/>
  <c r="M23" i="78" l="1"/>
  <c r="T43" i="78"/>
  <c r="V43" i="78" s="1"/>
  <c r="T16" i="78"/>
  <c r="V16" i="78" s="1"/>
  <c r="T24" i="78"/>
  <c r="V24" i="78" s="1"/>
  <c r="T37" i="78"/>
  <c r="V37" i="78" s="1"/>
  <c r="T15" i="78"/>
  <c r="V15" i="78" s="1"/>
  <c r="T64" i="78"/>
  <c r="V64" i="78" s="1"/>
  <c r="T90" i="78"/>
  <c r="V90" i="78" s="1"/>
  <c r="T23" i="78"/>
  <c r="V23" i="78" s="1"/>
  <c r="T56" i="78"/>
  <c r="V56" i="78" s="1"/>
  <c r="T31" i="78"/>
  <c r="V31" i="78" s="1"/>
  <c r="T58" i="78"/>
  <c r="V58" i="78" s="1"/>
  <c r="V19" i="78"/>
  <c r="V46" i="78"/>
  <c r="V41" i="78"/>
  <c r="V39" i="78"/>
  <c r="I14" i="78"/>
  <c r="M14" i="78" s="1"/>
  <c r="V12" i="78"/>
  <c r="V9" i="78"/>
  <c r="V10" i="78"/>
  <c r="V11" i="78"/>
  <c r="V13" i="78"/>
  <c r="V17" i="78"/>
  <c r="V18" i="78"/>
  <c r="V20" i="78"/>
  <c r="V21" i="78"/>
  <c r="V22" i="78"/>
  <c r="V25" i="78"/>
  <c r="V50" i="78"/>
  <c r="V8" i="78"/>
  <c r="G48" i="70"/>
  <c r="H48" i="70" s="1"/>
  <c r="V67" i="78"/>
  <c r="V57" i="78"/>
  <c r="U34" i="78"/>
  <c r="U32" i="78"/>
  <c r="V32" i="78" s="1"/>
  <c r="T14" i="78" l="1"/>
  <c r="V14" i="78" s="1"/>
  <c r="V34" i="78"/>
  <c r="G78" i="70"/>
  <c r="H78" i="70" s="1"/>
  <c r="G95" i="70"/>
  <c r="H95" i="70" s="1"/>
  <c r="G99" i="70"/>
  <c r="H99" i="70" s="1"/>
  <c r="G98" i="70"/>
  <c r="H98" i="70" s="1"/>
  <c r="G97" i="70"/>
  <c r="H97" i="70" s="1"/>
  <c r="G94" i="70"/>
  <c r="H94" i="70" s="1"/>
  <c r="G93" i="70"/>
  <c r="F93" i="70"/>
  <c r="G91" i="70"/>
  <c r="H91" i="70" s="1"/>
  <c r="G90" i="70"/>
  <c r="H90" i="70" s="1"/>
  <c r="C99" i="70"/>
  <c r="C98" i="70"/>
  <c r="C97" i="70"/>
  <c r="C96" i="70"/>
  <c r="C95" i="70"/>
  <c r="C94" i="70"/>
  <c r="C93" i="70"/>
  <c r="C92" i="70"/>
  <c r="C91" i="70"/>
  <c r="C90" i="70"/>
  <c r="C89" i="70"/>
  <c r="G89" i="70"/>
  <c r="H89" i="70" s="1"/>
  <c r="G87" i="70"/>
  <c r="H87" i="70" s="1"/>
  <c r="F86" i="70"/>
  <c r="G85" i="70"/>
  <c r="H85" i="70" s="1"/>
  <c r="H86" i="70" l="1"/>
  <c r="H93" i="70"/>
  <c r="G84" i="70"/>
  <c r="H84" i="70" s="1"/>
  <c r="G83" i="70" l="1"/>
  <c r="G82" i="70"/>
  <c r="H82" i="70" s="1"/>
  <c r="F81" i="70"/>
  <c r="G81" i="70"/>
  <c r="H81" i="70" s="1"/>
  <c r="G80" i="70" l="1"/>
  <c r="H80" i="70" s="1"/>
  <c r="C87" i="70"/>
  <c r="C86" i="70"/>
  <c r="C85" i="70"/>
  <c r="C84" i="70"/>
  <c r="C83" i="70"/>
  <c r="C82" i="70"/>
  <c r="C81" i="70"/>
  <c r="C80" i="70"/>
  <c r="C79" i="70"/>
  <c r="C78" i="70"/>
  <c r="G75" i="70"/>
  <c r="H75" i="70" s="1"/>
  <c r="G74" i="70"/>
  <c r="H74" i="70" s="1"/>
  <c r="G73" i="70"/>
  <c r="H73" i="70" s="1"/>
  <c r="G72" i="70"/>
  <c r="H72" i="70" s="1"/>
  <c r="G71" i="70" l="1"/>
  <c r="H71" i="70" s="1"/>
  <c r="C76" i="70"/>
  <c r="C75" i="70"/>
  <c r="C74" i="70"/>
  <c r="C73" i="70"/>
  <c r="C72" i="70"/>
  <c r="C71" i="70"/>
  <c r="C69" i="70"/>
  <c r="G69" i="70"/>
  <c r="H69" i="70" s="1"/>
  <c r="G68" i="70"/>
  <c r="H68" i="70" s="1"/>
  <c r="G67" i="70"/>
  <c r="H67" i="70" s="1"/>
  <c r="G66" i="70"/>
  <c r="H66" i="70" s="1"/>
  <c r="G65" i="70" l="1"/>
  <c r="H65" i="70" s="1"/>
  <c r="G64" i="70"/>
  <c r="H64" i="70" s="1"/>
  <c r="G63" i="70"/>
  <c r="H63" i="70" s="1"/>
  <c r="G62" i="70"/>
  <c r="H62" i="70" s="1"/>
  <c r="G61" i="70"/>
  <c r="H61" i="70" s="1"/>
  <c r="G60" i="70"/>
  <c r="H60" i="70" s="1"/>
  <c r="G59" i="70"/>
  <c r="G58" i="70"/>
  <c r="H58" i="70" s="1"/>
  <c r="C68" i="70"/>
  <c r="C67" i="70"/>
  <c r="C66" i="70"/>
  <c r="C65" i="70"/>
  <c r="C64" i="70"/>
  <c r="C63" i="70"/>
  <c r="C62" i="70"/>
  <c r="C61" i="70"/>
  <c r="C60" i="70"/>
  <c r="C59" i="70"/>
  <c r="C58" i="70"/>
  <c r="G57" i="70"/>
  <c r="H57" i="70" s="1"/>
  <c r="G56" i="70"/>
  <c r="F56" i="70"/>
  <c r="C57" i="70"/>
  <c r="C56" i="70"/>
  <c r="C54" i="70"/>
  <c r="G54" i="70"/>
  <c r="H54" i="70" s="1"/>
  <c r="C52" i="70"/>
  <c r="C53" i="70"/>
  <c r="C51" i="70"/>
  <c r="C50" i="70"/>
  <c r="C49" i="70"/>
  <c r="C45" i="70"/>
  <c r="C43" i="70"/>
  <c r="G53" i="70"/>
  <c r="H53" i="70" s="1"/>
  <c r="G52" i="70"/>
  <c r="H52" i="70" s="1"/>
  <c r="G51" i="70"/>
  <c r="H51" i="70" s="1"/>
  <c r="H56" i="70" l="1"/>
  <c r="F49" i="70"/>
  <c r="G45" i="70"/>
  <c r="H45" i="70" s="1"/>
  <c r="G44" i="70"/>
  <c r="G42" i="70" l="1"/>
  <c r="H42" i="70" s="1"/>
  <c r="G41" i="70"/>
  <c r="F41" i="70"/>
  <c r="C44" i="70"/>
  <c r="C42" i="70"/>
  <c r="C41" i="70"/>
  <c r="C40" i="70"/>
  <c r="G40" i="70"/>
  <c r="H40" i="70" s="1"/>
  <c r="G37" i="70"/>
  <c r="H37" i="70" s="1"/>
  <c r="G34" i="70"/>
  <c r="H34" i="70" s="1"/>
  <c r="H41" i="70" l="1"/>
  <c r="G32" i="70"/>
  <c r="H32" i="70" s="1"/>
  <c r="G30" i="70"/>
  <c r="H30" i="70" s="1"/>
  <c r="G29" i="70"/>
  <c r="F29" i="70"/>
  <c r="G28" i="70"/>
  <c r="H28" i="70" s="1"/>
  <c r="C39" i="70"/>
  <c r="C37" i="70"/>
  <c r="C35" i="70"/>
  <c r="C34" i="70"/>
  <c r="C33" i="70"/>
  <c r="C32" i="70"/>
  <c r="C31" i="70"/>
  <c r="C30" i="70"/>
  <c r="C29" i="70"/>
  <c r="C28" i="70"/>
  <c r="C27" i="70"/>
  <c r="G27" i="70"/>
  <c r="H27" i="70" s="1"/>
  <c r="F24" i="70"/>
  <c r="G23" i="70"/>
  <c r="F23" i="70"/>
  <c r="G22" i="70"/>
  <c r="H22" i="70" s="1"/>
  <c r="G21" i="70"/>
  <c r="H21" i="70" s="1"/>
  <c r="G19" i="70"/>
  <c r="F19" i="70"/>
  <c r="G18" i="70"/>
  <c r="H18" i="70" s="1"/>
  <c r="G17" i="70"/>
  <c r="H17" i="70" s="1"/>
  <c r="F16" i="70"/>
  <c r="G15" i="70"/>
  <c r="F15" i="70"/>
  <c r="G14" i="70"/>
  <c r="H14" i="70" s="1"/>
  <c r="G13" i="70"/>
  <c r="H13" i="70" s="1"/>
  <c r="F13" i="70"/>
  <c r="C12" i="70"/>
  <c r="C13" i="70"/>
  <c r="C14" i="70"/>
  <c r="C15" i="70"/>
  <c r="C16" i="70"/>
  <c r="C17" i="70"/>
  <c r="C18" i="70"/>
  <c r="C19" i="70"/>
  <c r="C20" i="70"/>
  <c r="C21" i="70"/>
  <c r="C22" i="70"/>
  <c r="C23" i="70"/>
  <c r="C24" i="70"/>
  <c r="C10" i="70"/>
  <c r="C11" i="70"/>
  <c r="C9" i="70"/>
  <c r="C8" i="70"/>
  <c r="G12" i="70"/>
  <c r="F12" i="70"/>
  <c r="G11" i="70"/>
  <c r="H11" i="70" s="1"/>
  <c r="G10" i="70"/>
  <c r="H10" i="70" s="1"/>
  <c r="G9" i="70"/>
  <c r="F9" i="70"/>
  <c r="G8" i="70"/>
  <c r="H8" i="70" s="1"/>
  <c r="H19" i="70" l="1"/>
  <c r="H23" i="70"/>
  <c r="H15" i="70"/>
  <c r="H24" i="70"/>
  <c r="H9" i="70"/>
  <c r="H16" i="70"/>
  <c r="H29" i="70"/>
  <c r="H12" i="70"/>
  <c r="X10" i="78"/>
  <c r="B6" i="78" l="1"/>
  <c r="W9" i="78" l="1"/>
  <c r="W10" i="78"/>
  <c r="W11" i="78"/>
  <c r="W12" i="78"/>
  <c r="W13" i="78"/>
  <c r="W14" i="78"/>
  <c r="W15" i="78"/>
  <c r="W16" i="78"/>
  <c r="W17" i="78"/>
  <c r="W18" i="78"/>
  <c r="W19" i="78"/>
  <c r="W20" i="78"/>
  <c r="W21" i="78"/>
  <c r="W22" i="78"/>
  <c r="W23" i="78"/>
  <c r="W24" i="78"/>
  <c r="W25" i="78"/>
  <c r="W27" i="78"/>
  <c r="W28" i="78"/>
  <c r="W29" i="78"/>
  <c r="W30" i="78"/>
  <c r="W31" i="78"/>
  <c r="W32" i="78"/>
  <c r="W33" i="78"/>
  <c r="W34" i="78"/>
  <c r="W35" i="78"/>
  <c r="W36" i="78"/>
  <c r="W37" i="78"/>
  <c r="W39" i="78"/>
  <c r="W40" i="78"/>
  <c r="W41" i="78"/>
  <c r="W42" i="78"/>
  <c r="W43" i="78"/>
  <c r="W44" i="78"/>
  <c r="W45" i="78"/>
  <c r="W46" i="78"/>
  <c r="W48" i="78"/>
  <c r="W49" i="78"/>
  <c r="W50" i="78"/>
  <c r="W51" i="78"/>
  <c r="W52" i="78"/>
  <c r="W53" i="78"/>
  <c r="W54" i="78"/>
  <c r="W56" i="78"/>
  <c r="W57" i="78"/>
  <c r="W58" i="78"/>
  <c r="W59" i="78"/>
  <c r="W60" i="78"/>
  <c r="W61" i="78"/>
  <c r="W62" i="78"/>
  <c r="W63" i="78"/>
  <c r="W64" i="78"/>
  <c r="W65" i="78"/>
  <c r="W66" i="78"/>
  <c r="W67" i="78"/>
  <c r="W68" i="78"/>
  <c r="W69" i="78"/>
  <c r="W71" i="78"/>
  <c r="W72" i="78"/>
  <c r="W73" i="78"/>
  <c r="W74" i="78"/>
  <c r="W75" i="78"/>
  <c r="W76" i="78"/>
  <c r="W78" i="78"/>
  <c r="W79" i="78"/>
  <c r="W80" i="78"/>
  <c r="W81" i="78"/>
  <c r="W82" i="78"/>
  <c r="W83" i="78"/>
  <c r="W84" i="78"/>
  <c r="W85" i="78"/>
  <c r="W86" i="78"/>
  <c r="W87" i="78"/>
  <c r="W89" i="78"/>
  <c r="W90" i="78"/>
  <c r="W91" i="78"/>
  <c r="W92" i="78"/>
  <c r="W93" i="78"/>
  <c r="W94" i="78"/>
  <c r="W95" i="78"/>
  <c r="W96" i="78"/>
  <c r="W97" i="78"/>
  <c r="W98" i="78"/>
  <c r="W99" i="78"/>
  <c r="F8" i="61"/>
  <c r="F9" i="61"/>
  <c r="F10" i="61"/>
  <c r="F11" i="61"/>
  <c r="F12" i="61"/>
  <c r="F13" i="61"/>
  <c r="F14" i="61"/>
  <c r="F15" i="61"/>
  <c r="F16" i="61"/>
  <c r="F17" i="61"/>
  <c r="F18" i="61"/>
  <c r="F19" i="61"/>
  <c r="F20" i="61"/>
  <c r="F21" i="61"/>
  <c r="F22" i="61"/>
  <c r="F23" i="61"/>
  <c r="F24" i="61"/>
  <c r="F26" i="61"/>
  <c r="F27" i="61"/>
  <c r="F28" i="61"/>
  <c r="F29" i="61"/>
  <c r="F30" i="61"/>
  <c r="F31" i="61"/>
  <c r="F32" i="61"/>
  <c r="F33" i="61"/>
  <c r="F34" i="61"/>
  <c r="F35" i="61"/>
  <c r="F36" i="61"/>
  <c r="F38" i="61"/>
  <c r="F39" i="61"/>
  <c r="F40" i="61"/>
  <c r="F41" i="61"/>
  <c r="F42" i="61"/>
  <c r="F43" i="61"/>
  <c r="F44" i="61"/>
  <c r="F45" i="61"/>
  <c r="F47" i="61"/>
  <c r="F48" i="61"/>
  <c r="F49" i="61"/>
  <c r="F50" i="61"/>
  <c r="F51" i="61"/>
  <c r="F52" i="61"/>
  <c r="F53" i="61"/>
  <c r="F55" i="61"/>
  <c r="F56" i="61"/>
  <c r="F57" i="61"/>
  <c r="F58" i="61"/>
  <c r="F59" i="61"/>
  <c r="F60" i="61"/>
  <c r="F61" i="61"/>
  <c r="F62" i="61"/>
  <c r="F63" i="61"/>
  <c r="F64" i="61"/>
  <c r="F65" i="61"/>
  <c r="F66" i="61"/>
  <c r="F67" i="61"/>
  <c r="F68" i="61"/>
  <c r="F70" i="61"/>
  <c r="F71" i="61"/>
  <c r="F72" i="61"/>
  <c r="F73" i="61"/>
  <c r="F74" i="61"/>
  <c r="F75" i="61"/>
  <c r="F77" i="61"/>
  <c r="F78" i="61"/>
  <c r="F79" i="61"/>
  <c r="F80" i="61"/>
  <c r="F81" i="61"/>
  <c r="F82" i="61"/>
  <c r="F83" i="61"/>
  <c r="F84" i="61"/>
  <c r="F85" i="61"/>
  <c r="F86" i="61"/>
  <c r="F88" i="61"/>
  <c r="F89" i="61"/>
  <c r="F90" i="61"/>
  <c r="F91" i="61"/>
  <c r="F92" i="61"/>
  <c r="F93" i="61"/>
  <c r="F94" i="61"/>
  <c r="F95" i="61"/>
  <c r="F96" i="61"/>
  <c r="F97" i="61"/>
  <c r="F98" i="61"/>
  <c r="G43" i="60" l="1"/>
  <c r="G50" i="60"/>
  <c r="G96" i="60"/>
  <c r="G34" i="60"/>
  <c r="G97" i="60" l="1"/>
  <c r="G68" i="61"/>
  <c r="X36" i="78" l="1"/>
  <c r="X46" i="78"/>
  <c r="G98" i="61" l="1"/>
  <c r="G97" i="61"/>
  <c r="G96" i="61"/>
  <c r="G95" i="61"/>
  <c r="G94" i="61"/>
  <c r="G93" i="61"/>
  <c r="G92" i="61"/>
  <c r="G91" i="61"/>
  <c r="G90" i="61"/>
  <c r="G89" i="61"/>
  <c r="G88" i="61"/>
  <c r="G86" i="61"/>
  <c r="G85" i="61"/>
  <c r="G84" i="61"/>
  <c r="G83" i="61"/>
  <c r="G82" i="61"/>
  <c r="G81" i="61"/>
  <c r="G80" i="61"/>
  <c r="G79" i="61"/>
  <c r="G78" i="61"/>
  <c r="G77" i="61"/>
  <c r="G75" i="61"/>
  <c r="G74" i="61"/>
  <c r="G73" i="61"/>
  <c r="G72" i="61"/>
  <c r="G71" i="61"/>
  <c r="G70" i="61"/>
  <c r="G67" i="61"/>
  <c r="G66" i="61"/>
  <c r="G65" i="61"/>
  <c r="G64" i="61"/>
  <c r="G63" i="61"/>
  <c r="G62" i="61"/>
  <c r="G61" i="61"/>
  <c r="G60" i="61"/>
  <c r="G59" i="61"/>
  <c r="G58" i="61"/>
  <c r="G57" i="61"/>
  <c r="G56" i="61"/>
  <c r="G55" i="61"/>
  <c r="G53" i="61"/>
  <c r="G52" i="61"/>
  <c r="G51" i="61"/>
  <c r="G50" i="61"/>
  <c r="G49" i="61"/>
  <c r="G48" i="61"/>
  <c r="G47" i="61"/>
  <c r="G45" i="61"/>
  <c r="G44" i="61"/>
  <c r="G43" i="61"/>
  <c r="G42" i="61"/>
  <c r="G41" i="61"/>
  <c r="G40" i="61"/>
  <c r="G39" i="61"/>
  <c r="G38" i="61"/>
  <c r="G36" i="61"/>
  <c r="G35" i="61"/>
  <c r="G34" i="61"/>
  <c r="G33" i="61"/>
  <c r="G32" i="61"/>
  <c r="G31" i="61"/>
  <c r="G30" i="61"/>
  <c r="G29" i="61"/>
  <c r="G28" i="61"/>
  <c r="G27" i="61"/>
  <c r="G26" i="61"/>
  <c r="G24" i="61"/>
  <c r="G23" i="61"/>
  <c r="G22" i="61"/>
  <c r="G21" i="61"/>
  <c r="G20" i="61"/>
  <c r="G19" i="61"/>
  <c r="G18" i="61"/>
  <c r="G17" i="61"/>
  <c r="G16" i="61"/>
  <c r="G15" i="61"/>
  <c r="G14" i="61"/>
  <c r="G13" i="61"/>
  <c r="G12" i="61"/>
  <c r="G11" i="61"/>
  <c r="G10" i="61"/>
  <c r="G9" i="61"/>
  <c r="G8" i="61"/>
  <c r="G98" i="60"/>
  <c r="G95" i="60"/>
  <c r="G94" i="60"/>
  <c r="G93" i="60"/>
  <c r="G92" i="60"/>
  <c r="G91" i="60"/>
  <c r="G90" i="60"/>
  <c r="G89" i="60"/>
  <c r="G88" i="60"/>
  <c r="G86" i="60"/>
  <c r="G85" i="60"/>
  <c r="G84" i="60"/>
  <c r="G83" i="60"/>
  <c r="G82" i="60"/>
  <c r="G81" i="60"/>
  <c r="G80" i="60"/>
  <c r="G79" i="60"/>
  <c r="G78" i="60"/>
  <c r="G77" i="60"/>
  <c r="G75" i="60"/>
  <c r="G74" i="60"/>
  <c r="G73" i="60"/>
  <c r="G72" i="60"/>
  <c r="G71" i="60"/>
  <c r="G70" i="60"/>
  <c r="G68" i="60"/>
  <c r="G67" i="60"/>
  <c r="G66" i="60"/>
  <c r="G65" i="60"/>
  <c r="G64" i="60"/>
  <c r="G63" i="60"/>
  <c r="G62" i="60"/>
  <c r="G61" i="60"/>
  <c r="G60" i="60"/>
  <c r="G59" i="60"/>
  <c r="G58" i="60"/>
  <c r="G57" i="60"/>
  <c r="G56" i="60"/>
  <c r="G55" i="60"/>
  <c r="G53" i="60"/>
  <c r="G52" i="60"/>
  <c r="G51" i="60"/>
  <c r="G49" i="60"/>
  <c r="G48" i="60"/>
  <c r="G47" i="60"/>
  <c r="G45" i="60"/>
  <c r="G44" i="60"/>
  <c r="G42" i="60"/>
  <c r="G41" i="60"/>
  <c r="G40" i="60"/>
  <c r="G39" i="60"/>
  <c r="G38" i="60"/>
  <c r="G36" i="60"/>
  <c r="G35" i="60"/>
  <c r="G33" i="60"/>
  <c r="G32" i="60"/>
  <c r="G31" i="60"/>
  <c r="G30" i="60"/>
  <c r="G29" i="60"/>
  <c r="G28" i="60"/>
  <c r="G27" i="60"/>
  <c r="G26" i="60"/>
  <c r="G24" i="60"/>
  <c r="G23" i="60"/>
  <c r="G22" i="60"/>
  <c r="G21" i="60"/>
  <c r="G20" i="60"/>
  <c r="G19" i="60"/>
  <c r="G18" i="60"/>
  <c r="G17" i="60"/>
  <c r="G16" i="60"/>
  <c r="G15" i="60"/>
  <c r="G14" i="60"/>
  <c r="G13" i="60"/>
  <c r="G12" i="60"/>
  <c r="G11" i="60"/>
  <c r="G10" i="60"/>
  <c r="G9" i="60"/>
  <c r="G8" i="60"/>
  <c r="X25" i="78"/>
  <c r="W8" i="78" l="1"/>
  <c r="B3" i="60"/>
  <c r="X99" i="78" l="1"/>
  <c r="X98" i="78"/>
  <c r="X97" i="78"/>
  <c r="X96" i="78"/>
  <c r="X95" i="78"/>
  <c r="X94" i="78"/>
  <c r="X93" i="78"/>
  <c r="X92" i="78"/>
  <c r="X91" i="78"/>
  <c r="X90" i="78"/>
  <c r="X89" i="78"/>
  <c r="X87" i="78"/>
  <c r="X86" i="78"/>
  <c r="X85" i="78"/>
  <c r="X84" i="78"/>
  <c r="X83" i="78"/>
  <c r="X82" i="78"/>
  <c r="X81" i="78"/>
  <c r="X80" i="78"/>
  <c r="X79" i="78"/>
  <c r="X78" i="78"/>
  <c r="X76" i="78"/>
  <c r="X75" i="78"/>
  <c r="X74" i="78"/>
  <c r="X73" i="78"/>
  <c r="X72" i="78"/>
  <c r="X71" i="78"/>
  <c r="X69" i="78"/>
  <c r="X68" i="78"/>
  <c r="X67" i="78"/>
  <c r="X66" i="78"/>
  <c r="X65" i="78"/>
  <c r="X64" i="78"/>
  <c r="X63" i="78"/>
  <c r="X62" i="78"/>
  <c r="X61" i="78"/>
  <c r="X60" i="78"/>
  <c r="X59" i="78"/>
  <c r="X58" i="78"/>
  <c r="X57" i="78"/>
  <c r="X56" i="78"/>
  <c r="X54" i="78"/>
  <c r="X53" i="78"/>
  <c r="X52" i="78"/>
  <c r="X51" i="78"/>
  <c r="X50" i="78"/>
  <c r="X49" i="78"/>
  <c r="X48" i="78"/>
  <c r="X45" i="78"/>
  <c r="X44" i="78"/>
  <c r="X43" i="78"/>
  <c r="X42" i="78"/>
  <c r="X41" i="78"/>
  <c r="X40" i="78"/>
  <c r="X39" i="78"/>
  <c r="X37" i="78"/>
  <c r="X35" i="78"/>
  <c r="X34" i="78"/>
  <c r="X33" i="78"/>
  <c r="X32" i="78"/>
  <c r="X31" i="78"/>
  <c r="X30" i="78"/>
  <c r="X29" i="78"/>
  <c r="X28" i="78"/>
  <c r="X27" i="78"/>
  <c r="X24" i="78"/>
  <c r="X23" i="78"/>
  <c r="X22" i="78"/>
  <c r="X21" i="78"/>
  <c r="X20" i="78"/>
  <c r="X19" i="78"/>
  <c r="X18" i="78"/>
  <c r="X17" i="78"/>
  <c r="X16" i="78"/>
  <c r="X15" i="78"/>
  <c r="X14" i="78"/>
  <c r="X13" i="78"/>
  <c r="X12" i="78"/>
  <c r="X11" i="78"/>
  <c r="X9" i="78"/>
  <c r="X8" i="78"/>
  <c r="B5" i="70" l="1"/>
  <c r="I45" i="12" l="1"/>
  <c r="F7" i="61" l="1"/>
  <c r="G7" i="61"/>
  <c r="C98" i="79" l="1"/>
  <c r="F98" i="79" s="1"/>
  <c r="C97" i="79"/>
  <c r="F97" i="79" s="1"/>
  <c r="C96" i="79"/>
  <c r="F96" i="79" s="1"/>
  <c r="C95" i="79"/>
  <c r="F95" i="79" s="1"/>
  <c r="C94" i="79"/>
  <c r="F94" i="79" s="1"/>
  <c r="C93" i="79"/>
  <c r="F93" i="79" s="1"/>
  <c r="C92" i="79"/>
  <c r="F92" i="79" s="1"/>
  <c r="C91" i="79"/>
  <c r="F91" i="79" s="1"/>
  <c r="C90" i="79"/>
  <c r="F90" i="79" s="1"/>
  <c r="C89" i="79"/>
  <c r="F89" i="79" s="1"/>
  <c r="C88" i="79"/>
  <c r="F88" i="79" s="1"/>
  <c r="C86" i="79"/>
  <c r="F86" i="79" s="1"/>
  <c r="C85" i="79"/>
  <c r="F85" i="79" s="1"/>
  <c r="C84" i="79"/>
  <c r="F84" i="79" s="1"/>
  <c r="C83" i="79"/>
  <c r="F83" i="79" s="1"/>
  <c r="C82" i="79"/>
  <c r="F82" i="79" s="1"/>
  <c r="C81" i="79"/>
  <c r="F81" i="79" s="1"/>
  <c r="C80" i="79"/>
  <c r="F80" i="79" s="1"/>
  <c r="C79" i="79"/>
  <c r="F79" i="79" s="1"/>
  <c r="C78" i="79"/>
  <c r="F78" i="79" s="1"/>
  <c r="C77" i="79"/>
  <c r="F77" i="79" s="1"/>
  <c r="C75" i="79"/>
  <c r="F75" i="79" s="1"/>
  <c r="C74" i="79"/>
  <c r="F74" i="79" s="1"/>
  <c r="C73" i="79"/>
  <c r="F73" i="79" s="1"/>
  <c r="C72" i="79"/>
  <c r="F72" i="79" s="1"/>
  <c r="C71" i="79"/>
  <c r="F71" i="79" s="1"/>
  <c r="C70" i="79"/>
  <c r="F70" i="79" s="1"/>
  <c r="C68" i="79"/>
  <c r="F68" i="79" s="1"/>
  <c r="C67" i="79"/>
  <c r="F67" i="79" s="1"/>
  <c r="C66" i="79"/>
  <c r="F66" i="79" s="1"/>
  <c r="C65" i="79"/>
  <c r="F65" i="79" s="1"/>
  <c r="C64" i="79"/>
  <c r="F64" i="79" s="1"/>
  <c r="C63" i="79"/>
  <c r="F63" i="79" s="1"/>
  <c r="C62" i="79"/>
  <c r="F62" i="79" s="1"/>
  <c r="C61" i="79"/>
  <c r="F61" i="79" s="1"/>
  <c r="C60" i="79"/>
  <c r="F60" i="79" s="1"/>
  <c r="C59" i="79"/>
  <c r="F59" i="79" s="1"/>
  <c r="C58" i="79"/>
  <c r="F58" i="79" s="1"/>
  <c r="C57" i="79"/>
  <c r="F57" i="79" s="1"/>
  <c r="C56" i="79"/>
  <c r="F56" i="79" s="1"/>
  <c r="C55" i="79"/>
  <c r="F55" i="79" s="1"/>
  <c r="C53" i="79"/>
  <c r="F53" i="79" s="1"/>
  <c r="C52" i="79"/>
  <c r="F52" i="79" s="1"/>
  <c r="C51" i="79"/>
  <c r="F51" i="79" s="1"/>
  <c r="C50" i="79"/>
  <c r="F50" i="79" s="1"/>
  <c r="C49" i="79"/>
  <c r="F49" i="79" s="1"/>
  <c r="C48" i="79"/>
  <c r="F48" i="79" s="1"/>
  <c r="C47" i="79"/>
  <c r="F47" i="79" s="1"/>
  <c r="C45" i="79"/>
  <c r="F45" i="79" s="1"/>
  <c r="C44" i="79"/>
  <c r="F44" i="79" s="1"/>
  <c r="C43" i="79"/>
  <c r="F43" i="79" s="1"/>
  <c r="C42" i="79"/>
  <c r="F42" i="79" s="1"/>
  <c r="C41" i="79"/>
  <c r="F41" i="79" s="1"/>
  <c r="C40" i="79"/>
  <c r="F40" i="79" s="1"/>
  <c r="C39" i="79"/>
  <c r="F39" i="79" s="1"/>
  <c r="C38" i="79"/>
  <c r="F38" i="79" s="1"/>
  <c r="C36" i="79"/>
  <c r="F36" i="79" s="1"/>
  <c r="C35" i="79"/>
  <c r="F35" i="79" s="1"/>
  <c r="C34" i="79"/>
  <c r="F34" i="79" s="1"/>
  <c r="C33" i="79"/>
  <c r="F33" i="79" s="1"/>
  <c r="C32" i="79"/>
  <c r="F32" i="79" s="1"/>
  <c r="C31" i="79"/>
  <c r="F31" i="79" s="1"/>
  <c r="C30" i="79"/>
  <c r="F30" i="79" s="1"/>
  <c r="C29" i="79"/>
  <c r="F29" i="79" s="1"/>
  <c r="C28" i="79"/>
  <c r="F28" i="79" s="1"/>
  <c r="C27" i="79"/>
  <c r="F27" i="79" s="1"/>
  <c r="C26" i="79"/>
  <c r="F26" i="79" s="1"/>
  <c r="C24" i="79"/>
  <c r="F24" i="79" s="1"/>
  <c r="C23" i="79"/>
  <c r="F23" i="79" s="1"/>
  <c r="C22" i="79"/>
  <c r="F22" i="79" s="1"/>
  <c r="C21" i="79"/>
  <c r="F21" i="79" s="1"/>
  <c r="C20" i="79"/>
  <c r="F20" i="79" s="1"/>
  <c r="C19" i="79"/>
  <c r="F19" i="79" s="1"/>
  <c r="C18" i="79"/>
  <c r="F18" i="79" s="1"/>
  <c r="C17" i="79"/>
  <c r="F17" i="79" s="1"/>
  <c r="C16" i="79"/>
  <c r="F16" i="79" s="1"/>
  <c r="C15" i="79"/>
  <c r="F15" i="79" s="1"/>
  <c r="C14" i="79"/>
  <c r="F14" i="79" s="1"/>
  <c r="C13" i="79"/>
  <c r="F13" i="79" s="1"/>
  <c r="C12" i="79"/>
  <c r="F12" i="79" s="1"/>
  <c r="C11" i="79"/>
  <c r="F11" i="79" s="1"/>
  <c r="C10" i="79"/>
  <c r="F10" i="79" s="1"/>
  <c r="C9" i="79"/>
  <c r="F9" i="79" s="1"/>
  <c r="C8" i="79"/>
  <c r="F8" i="79" s="1"/>
  <c r="C7" i="79"/>
  <c r="F7" i="79" s="1"/>
  <c r="E7" i="12" l="1"/>
  <c r="B3" i="79"/>
  <c r="B3" i="78" l="1"/>
  <c r="C7" i="61"/>
  <c r="G7" i="60"/>
  <c r="E82" i="12"/>
  <c r="E73" i="12"/>
  <c r="E58" i="12"/>
  <c r="E64" i="12"/>
  <c r="E53" i="12"/>
  <c r="B3" i="70"/>
  <c r="B3" i="61"/>
  <c r="B6" i="70"/>
  <c r="B4" i="70"/>
  <c r="B5" i="78"/>
  <c r="B4" i="78"/>
  <c r="B5" i="61"/>
  <c r="B4" i="61"/>
  <c r="B5" i="60"/>
  <c r="B4" i="60"/>
  <c r="B5" i="79"/>
  <c r="B4" i="79"/>
  <c r="E76" i="70"/>
  <c r="E31" i="70"/>
  <c r="C8" i="60"/>
  <c r="C9" i="60"/>
  <c r="C10" i="60"/>
  <c r="C11" i="60"/>
  <c r="C12" i="60"/>
  <c r="C13" i="60"/>
  <c r="C14" i="60"/>
  <c r="C15" i="60"/>
  <c r="C16" i="60"/>
  <c r="C17" i="60"/>
  <c r="C18" i="60"/>
  <c r="C19" i="60"/>
  <c r="C20" i="60"/>
  <c r="C21" i="60"/>
  <c r="C22" i="60"/>
  <c r="C23" i="60"/>
  <c r="C24" i="60"/>
  <c r="C26" i="60"/>
  <c r="C27" i="60"/>
  <c r="C28" i="60"/>
  <c r="C29" i="60"/>
  <c r="C30" i="60"/>
  <c r="C31" i="60"/>
  <c r="C32" i="60"/>
  <c r="C33" i="60"/>
  <c r="C34" i="60"/>
  <c r="C35" i="60"/>
  <c r="C36" i="60"/>
  <c r="C38" i="60"/>
  <c r="C39" i="60"/>
  <c r="C40" i="60"/>
  <c r="C41" i="60"/>
  <c r="C42" i="60"/>
  <c r="C43" i="60"/>
  <c r="C44" i="60"/>
  <c r="C45" i="60"/>
  <c r="C47" i="60"/>
  <c r="C48" i="60"/>
  <c r="C49" i="60"/>
  <c r="C50" i="60"/>
  <c r="C51" i="60"/>
  <c r="C52" i="60"/>
  <c r="C53" i="60"/>
  <c r="C55" i="60"/>
  <c r="C56" i="60"/>
  <c r="C57" i="60"/>
  <c r="C58" i="60"/>
  <c r="C59" i="60"/>
  <c r="C60" i="60"/>
  <c r="C61" i="60"/>
  <c r="C62" i="60"/>
  <c r="C63" i="60"/>
  <c r="C64" i="60"/>
  <c r="C65" i="60"/>
  <c r="C66" i="60"/>
  <c r="C67" i="60"/>
  <c r="C68" i="60"/>
  <c r="C70" i="60"/>
  <c r="C71" i="60"/>
  <c r="C72" i="60"/>
  <c r="C73" i="60"/>
  <c r="C74" i="60"/>
  <c r="C75" i="60"/>
  <c r="C77" i="60"/>
  <c r="C88" i="60"/>
  <c r="C78" i="60"/>
  <c r="C79" i="60"/>
  <c r="C80" i="60"/>
  <c r="C90" i="60"/>
  <c r="C81" i="60"/>
  <c r="C82" i="60"/>
  <c r="C83" i="60"/>
  <c r="C84" i="60"/>
  <c r="C85" i="60"/>
  <c r="C86" i="60"/>
  <c r="C89" i="60"/>
  <c r="C91" i="60"/>
  <c r="C92" i="60"/>
  <c r="C93" i="60"/>
  <c r="C94" i="60"/>
  <c r="C95" i="60"/>
  <c r="C96" i="60"/>
  <c r="C97" i="60"/>
  <c r="C98" i="60"/>
  <c r="E8" i="70"/>
  <c r="E27" i="70"/>
  <c r="E28" i="70"/>
  <c r="E29" i="70"/>
  <c r="E30" i="70"/>
  <c r="E32" i="70"/>
  <c r="E33" i="70"/>
  <c r="E34" i="70"/>
  <c r="E35" i="70"/>
  <c r="I35" i="12"/>
  <c r="E37" i="70"/>
  <c r="E39" i="70"/>
  <c r="E40" i="70"/>
  <c r="E41" i="70"/>
  <c r="E42" i="70"/>
  <c r="E43" i="70"/>
  <c r="E44" i="70"/>
  <c r="E45" i="70"/>
  <c r="E48" i="70"/>
  <c r="E49" i="70"/>
  <c r="E50" i="70"/>
  <c r="E51" i="70"/>
  <c r="E52" i="70"/>
  <c r="E53" i="70"/>
  <c r="E54" i="70"/>
  <c r="E56" i="70"/>
  <c r="E57" i="70"/>
  <c r="E58" i="70"/>
  <c r="E59" i="70"/>
  <c r="E60" i="70"/>
  <c r="E61" i="70"/>
  <c r="E62" i="70"/>
  <c r="E63" i="70"/>
  <c r="E64" i="70"/>
  <c r="E65" i="70"/>
  <c r="E66" i="70"/>
  <c r="E67" i="70"/>
  <c r="E68" i="70"/>
  <c r="E69" i="70"/>
  <c r="E71" i="70"/>
  <c r="E72" i="70"/>
  <c r="E73" i="70"/>
  <c r="E74" i="70"/>
  <c r="E75" i="70"/>
  <c r="E78" i="70"/>
  <c r="E89" i="70"/>
  <c r="E79" i="70"/>
  <c r="E80" i="70"/>
  <c r="E81" i="70"/>
  <c r="E91" i="70"/>
  <c r="E82" i="70"/>
  <c r="E83" i="70"/>
  <c r="E84" i="70"/>
  <c r="E85" i="70"/>
  <c r="E87" i="70"/>
  <c r="E93" i="70"/>
  <c r="E94" i="70"/>
  <c r="E95" i="70"/>
  <c r="E96" i="70"/>
  <c r="E97" i="70"/>
  <c r="E98" i="70"/>
  <c r="E99" i="70"/>
  <c r="E9" i="70"/>
  <c r="E10" i="70"/>
  <c r="E11" i="70"/>
  <c r="E12" i="70"/>
  <c r="E13" i="70"/>
  <c r="E14" i="70"/>
  <c r="E15" i="70"/>
  <c r="E16" i="70"/>
  <c r="E17" i="70"/>
  <c r="E18" i="70"/>
  <c r="E19" i="70"/>
  <c r="E20" i="70"/>
  <c r="E21" i="70"/>
  <c r="E22" i="70"/>
  <c r="E23" i="70"/>
  <c r="E24" i="70"/>
  <c r="E86" i="70"/>
  <c r="E90" i="70"/>
  <c r="E92" i="70"/>
  <c r="AO111" i="78"/>
  <c r="AO113" i="78"/>
  <c r="C8" i="61"/>
  <c r="C9" i="61"/>
  <c r="C10" i="61"/>
  <c r="C11" i="61"/>
  <c r="C12" i="61"/>
  <c r="C13" i="61"/>
  <c r="C14" i="61"/>
  <c r="C15" i="61"/>
  <c r="C16" i="61"/>
  <c r="C17" i="61"/>
  <c r="C18" i="61"/>
  <c r="C19" i="61"/>
  <c r="C20" i="61"/>
  <c r="C21" i="61"/>
  <c r="C22" i="61"/>
  <c r="C23" i="61"/>
  <c r="C24" i="61"/>
  <c r="C26" i="61"/>
  <c r="C27" i="61"/>
  <c r="C28" i="61"/>
  <c r="C29" i="61"/>
  <c r="C30" i="61"/>
  <c r="C31" i="61"/>
  <c r="C32" i="61"/>
  <c r="C33" i="61"/>
  <c r="C34" i="61"/>
  <c r="C35" i="61"/>
  <c r="C36" i="61"/>
  <c r="C38" i="61"/>
  <c r="C39" i="61"/>
  <c r="C40" i="61"/>
  <c r="C41" i="61"/>
  <c r="C42" i="61"/>
  <c r="C43" i="61"/>
  <c r="C44" i="61"/>
  <c r="C45" i="61"/>
  <c r="C47" i="61"/>
  <c r="C48" i="61"/>
  <c r="C49" i="61"/>
  <c r="C50" i="61"/>
  <c r="C51" i="61"/>
  <c r="C52" i="61"/>
  <c r="C53" i="61"/>
  <c r="C55" i="61"/>
  <c r="C56" i="61"/>
  <c r="C57" i="61"/>
  <c r="C58" i="61"/>
  <c r="C59" i="61"/>
  <c r="C60" i="61"/>
  <c r="C61" i="61"/>
  <c r="C62" i="61"/>
  <c r="C63" i="61"/>
  <c r="C64" i="61"/>
  <c r="C65" i="61"/>
  <c r="C66" i="61"/>
  <c r="C67" i="61"/>
  <c r="C68" i="61"/>
  <c r="C70" i="61"/>
  <c r="C71" i="61"/>
  <c r="C72" i="61"/>
  <c r="C73" i="61"/>
  <c r="C74" i="61"/>
  <c r="C75" i="61"/>
  <c r="C77" i="61"/>
  <c r="C88" i="61"/>
  <c r="C78" i="61"/>
  <c r="C79" i="61"/>
  <c r="C80" i="61"/>
  <c r="C90" i="61"/>
  <c r="C81" i="61"/>
  <c r="C82" i="61"/>
  <c r="C83" i="61"/>
  <c r="C84" i="61"/>
  <c r="C85" i="61"/>
  <c r="C86" i="61"/>
  <c r="C89" i="61"/>
  <c r="C91" i="61"/>
  <c r="C92" i="61"/>
  <c r="C93" i="61"/>
  <c r="C94" i="61"/>
  <c r="C95" i="61"/>
  <c r="C96" i="61"/>
  <c r="C97" i="61"/>
  <c r="C98" i="61"/>
  <c r="C7" i="60"/>
  <c r="D5" i="12"/>
  <c r="F10" i="12"/>
  <c r="F18" i="12"/>
  <c r="E68" i="12"/>
  <c r="E24" i="12"/>
  <c r="E38" i="12"/>
  <c r="E52" i="12"/>
  <c r="E30" i="12"/>
  <c r="E57" i="12"/>
  <c r="E74" i="12"/>
  <c r="E96" i="12"/>
  <c r="E9" i="12"/>
  <c r="E10" i="12"/>
  <c r="E32" i="12"/>
  <c r="E94" i="12"/>
  <c r="E40" i="12"/>
  <c r="E56" i="12"/>
  <c r="E34" i="12"/>
  <c r="E50" i="12"/>
  <c r="E86" i="12"/>
  <c r="E89" i="12"/>
  <c r="E39" i="12"/>
  <c r="E70" i="12"/>
  <c r="E78" i="12"/>
  <c r="E91" i="12"/>
  <c r="E63" i="12"/>
  <c r="E93" i="12"/>
  <c r="E49" i="12"/>
  <c r="E29" i="12"/>
  <c r="E47" i="12"/>
  <c r="E71" i="12"/>
  <c r="E80" i="12"/>
  <c r="E19" i="12"/>
  <c r="E26" i="12"/>
  <c r="E60" i="12"/>
  <c r="E98" i="12"/>
  <c r="E95" i="12"/>
  <c r="E51" i="12"/>
  <c r="E31" i="12"/>
  <c r="E45" i="12"/>
  <c r="E84" i="12"/>
  <c r="E88" i="12"/>
  <c r="E97" i="12"/>
  <c r="E15" i="12"/>
  <c r="E33" i="12"/>
  <c r="E23" i="12"/>
  <c r="E20" i="12"/>
  <c r="E17" i="12"/>
  <c r="E28" i="12"/>
  <c r="E48" i="12"/>
  <c r="E62" i="12"/>
  <c r="E59" i="12"/>
  <c r="E75" i="12"/>
  <c r="E81" i="12"/>
  <c r="E44" i="12"/>
  <c r="E36" i="12"/>
  <c r="E67" i="12"/>
  <c r="E92" i="12"/>
  <c r="E11" i="12"/>
  <c r="E8" i="12"/>
  <c r="E13" i="12"/>
  <c r="E35" i="12"/>
  <c r="E43" i="12"/>
  <c r="E55" i="12"/>
  <c r="E79" i="12"/>
  <c r="E72" i="12"/>
  <c r="E22" i="12"/>
  <c r="E12" i="12"/>
  <c r="E42" i="12"/>
  <c r="E90" i="12"/>
  <c r="E14" i="12"/>
  <c r="E61" i="12"/>
  <c r="E41" i="12"/>
  <c r="E65" i="12"/>
  <c r="E77" i="12"/>
  <c r="F7" i="12" l="1"/>
  <c r="C35" i="12"/>
  <c r="C24" i="12"/>
  <c r="C45" i="12"/>
  <c r="F22" i="12"/>
  <c r="F71" i="12"/>
  <c r="F31" i="12"/>
  <c r="F52" i="12"/>
  <c r="C8" i="78"/>
  <c r="E8" i="78" s="1"/>
  <c r="C10" i="12"/>
  <c r="C18" i="12"/>
  <c r="C28" i="12"/>
  <c r="C38" i="12"/>
  <c r="C48" i="12"/>
  <c r="C57" i="12"/>
  <c r="C65" i="12"/>
  <c r="C74" i="12"/>
  <c r="C83" i="12"/>
  <c r="C92" i="12"/>
  <c r="C7" i="12"/>
  <c r="C58" i="12"/>
  <c r="C75" i="12"/>
  <c r="C84" i="12"/>
  <c r="C93" i="12"/>
  <c r="C12" i="12"/>
  <c r="C30" i="12"/>
  <c r="C50" i="12"/>
  <c r="C67" i="12"/>
  <c r="C85" i="12"/>
  <c r="C11" i="12"/>
  <c r="C19" i="12"/>
  <c r="C29" i="12"/>
  <c r="C39" i="12"/>
  <c r="C49" i="12"/>
  <c r="C66" i="12"/>
  <c r="C40" i="12"/>
  <c r="C77" i="12"/>
  <c r="C94" i="12"/>
  <c r="C13" i="12"/>
  <c r="C31" i="12"/>
  <c r="C41" i="12"/>
  <c r="C60" i="12"/>
  <c r="C78" i="12"/>
  <c r="C95" i="12"/>
  <c r="C14" i="12"/>
  <c r="C22" i="12"/>
  <c r="C32" i="12"/>
  <c r="C52" i="12"/>
  <c r="C70" i="12"/>
  <c r="C88" i="12"/>
  <c r="C33" i="12"/>
  <c r="C62" i="12"/>
  <c r="C89" i="12"/>
  <c r="C34" i="12"/>
  <c r="C55" i="12"/>
  <c r="C81" i="12"/>
  <c r="C9" i="12"/>
  <c r="C36" i="12"/>
  <c r="C64" i="12"/>
  <c r="C91" i="12"/>
  <c r="C20" i="12"/>
  <c r="C59" i="12"/>
  <c r="C21" i="12"/>
  <c r="C51" i="12"/>
  <c r="C68" i="12"/>
  <c r="C86" i="12"/>
  <c r="C42" i="12"/>
  <c r="C61" i="12"/>
  <c r="C79" i="12"/>
  <c r="C96" i="12"/>
  <c r="C15" i="12"/>
  <c r="C23" i="12"/>
  <c r="C43" i="12"/>
  <c r="C71" i="12"/>
  <c r="C80" i="12"/>
  <c r="C97" i="12"/>
  <c r="C16" i="12"/>
  <c r="C26" i="12"/>
  <c r="C44" i="12"/>
  <c r="C63" i="12"/>
  <c r="C90" i="12"/>
  <c r="C17" i="12"/>
  <c r="C47" i="12"/>
  <c r="C73" i="12"/>
  <c r="C8" i="12"/>
  <c r="C53" i="12"/>
  <c r="C72" i="12"/>
  <c r="C98" i="12"/>
  <c r="C27" i="12"/>
  <c r="C56" i="12"/>
  <c r="C82" i="12"/>
  <c r="C9" i="78"/>
  <c r="E9" i="78" s="1"/>
  <c r="C13" i="78"/>
  <c r="E13" i="78" s="1"/>
  <c r="C17" i="78"/>
  <c r="E17" i="78" s="1"/>
  <c r="C21" i="78"/>
  <c r="E21" i="78" s="1"/>
  <c r="C25" i="78"/>
  <c r="E25" i="78" s="1"/>
  <c r="C29" i="78"/>
  <c r="E29" i="78" s="1"/>
  <c r="C33" i="78"/>
  <c r="E33" i="78" s="1"/>
  <c r="C37" i="78"/>
  <c r="E37" i="78" s="1"/>
  <c r="C41" i="78"/>
  <c r="E41" i="78" s="1"/>
  <c r="C45" i="78"/>
  <c r="E45" i="78" s="1"/>
  <c r="C49" i="78"/>
  <c r="E49" i="78" s="1"/>
  <c r="C53" i="78"/>
  <c r="E53" i="78" s="1"/>
  <c r="C57" i="78"/>
  <c r="E57" i="78" s="1"/>
  <c r="C61" i="78"/>
  <c r="E61" i="78" s="1"/>
  <c r="C65" i="78"/>
  <c r="E65" i="78" s="1"/>
  <c r="C69" i="78"/>
  <c r="E69" i="78" s="1"/>
  <c r="C73" i="78"/>
  <c r="E73" i="78" s="1"/>
  <c r="C81" i="78"/>
  <c r="E81" i="78" s="1"/>
  <c r="C85" i="78"/>
  <c r="E85" i="78" s="1"/>
  <c r="C89" i="78"/>
  <c r="E89" i="78" s="1"/>
  <c r="C93" i="78"/>
  <c r="E93" i="78" s="1"/>
  <c r="C97" i="78"/>
  <c r="E97" i="78" s="1"/>
  <c r="C14" i="78"/>
  <c r="E14" i="78" s="1"/>
  <c r="C34" i="78"/>
  <c r="E34" i="78" s="1"/>
  <c r="C42" i="78"/>
  <c r="E42" i="78" s="1"/>
  <c r="C50" i="78"/>
  <c r="E50" i="78" s="1"/>
  <c r="C58" i="78"/>
  <c r="E58" i="78" s="1"/>
  <c r="C66" i="78"/>
  <c r="E66" i="78" s="1"/>
  <c r="C74" i="78"/>
  <c r="E74" i="78" s="1"/>
  <c r="C82" i="78"/>
  <c r="E82" i="78" s="1"/>
  <c r="C90" i="78"/>
  <c r="E90" i="78" s="1"/>
  <c r="C98" i="78"/>
  <c r="E98" i="78" s="1"/>
  <c r="C10" i="78"/>
  <c r="E10" i="78" s="1"/>
  <c r="C11" i="78"/>
  <c r="E11" i="78" s="1"/>
  <c r="C15" i="78"/>
  <c r="E15" i="78" s="1"/>
  <c r="C19" i="78"/>
  <c r="E19" i="78" s="1"/>
  <c r="C23" i="78"/>
  <c r="E23" i="78" s="1"/>
  <c r="C27" i="78"/>
  <c r="E27" i="78" s="1"/>
  <c r="C31" i="78"/>
  <c r="E31" i="78" s="1"/>
  <c r="C35" i="78"/>
  <c r="E35" i="78" s="1"/>
  <c r="C39" i="78"/>
  <c r="E39" i="78" s="1"/>
  <c r="C43" i="78"/>
  <c r="E43" i="78" s="1"/>
  <c r="C51" i="78"/>
  <c r="E51" i="78" s="1"/>
  <c r="C59" i="78"/>
  <c r="E59" i="78" s="1"/>
  <c r="C63" i="78"/>
  <c r="E63" i="78" s="1"/>
  <c r="C67" i="78"/>
  <c r="E67" i="78" s="1"/>
  <c r="C71" i="78"/>
  <c r="E71" i="78" s="1"/>
  <c r="C75" i="78"/>
  <c r="E75" i="78" s="1"/>
  <c r="C79" i="78"/>
  <c r="E79" i="78" s="1"/>
  <c r="C83" i="78"/>
  <c r="E83" i="78" s="1"/>
  <c r="C87" i="78"/>
  <c r="E87" i="78" s="1"/>
  <c r="C91" i="78"/>
  <c r="E91" i="78" s="1"/>
  <c r="C95" i="78"/>
  <c r="E95" i="78" s="1"/>
  <c r="C99" i="78"/>
  <c r="E99" i="78" s="1"/>
  <c r="C12" i="78"/>
  <c r="E12" i="78" s="1"/>
  <c r="C16" i="78"/>
  <c r="E16" i="78" s="1"/>
  <c r="C20" i="78"/>
  <c r="E20" i="78" s="1"/>
  <c r="C24" i="78"/>
  <c r="E24" i="78" s="1"/>
  <c r="C28" i="78"/>
  <c r="E28" i="78" s="1"/>
  <c r="C32" i="78"/>
  <c r="E32" i="78" s="1"/>
  <c r="C36" i="78"/>
  <c r="E36" i="78" s="1"/>
  <c r="C40" i="78"/>
  <c r="E40" i="78" s="1"/>
  <c r="C44" i="78"/>
  <c r="E44" i="78" s="1"/>
  <c r="C48" i="78"/>
  <c r="E48" i="78" s="1"/>
  <c r="C52" i="78"/>
  <c r="E52" i="78" s="1"/>
  <c r="C56" i="78"/>
  <c r="E56" i="78" s="1"/>
  <c r="C60" i="78"/>
  <c r="E60" i="78" s="1"/>
  <c r="C64" i="78"/>
  <c r="E64" i="78" s="1"/>
  <c r="C68" i="78"/>
  <c r="E68" i="78" s="1"/>
  <c r="C72" i="78"/>
  <c r="E72" i="78" s="1"/>
  <c r="C76" i="78"/>
  <c r="E76" i="78" s="1"/>
  <c r="C80" i="78"/>
  <c r="E80" i="78" s="1"/>
  <c r="C84" i="78"/>
  <c r="E84" i="78" s="1"/>
  <c r="C92" i="78"/>
  <c r="E92" i="78" s="1"/>
  <c r="C96" i="78"/>
  <c r="E96" i="78" s="1"/>
  <c r="C18" i="78"/>
  <c r="E18" i="78" s="1"/>
  <c r="C22" i="78"/>
  <c r="E22" i="78" s="1"/>
  <c r="C30" i="78"/>
  <c r="E30" i="78" s="1"/>
  <c r="C46" i="78"/>
  <c r="E46" i="78" s="1"/>
  <c r="C54" i="78"/>
  <c r="E54" i="78" s="1"/>
  <c r="C62" i="78"/>
  <c r="E62" i="78" s="1"/>
  <c r="C78" i="78"/>
  <c r="E78" i="78" s="1"/>
  <c r="C86" i="78"/>
  <c r="E86" i="78" s="1"/>
  <c r="C94" i="78"/>
  <c r="E94" i="78" s="1"/>
  <c r="G31" i="12"/>
  <c r="F82" i="12"/>
  <c r="F27" i="12"/>
  <c r="F35" i="12"/>
  <c r="F9" i="12"/>
  <c r="F70" i="12"/>
  <c r="F81" i="12"/>
  <c r="F85" i="12"/>
  <c r="I97" i="12"/>
  <c r="I53" i="12"/>
  <c r="I89" i="12"/>
  <c r="I96" i="12"/>
  <c r="I79" i="12"/>
  <c r="I48" i="12"/>
  <c r="I28" i="12"/>
  <c r="I20" i="12"/>
  <c r="I86" i="12"/>
  <c r="I51" i="12"/>
  <c r="I75" i="12"/>
  <c r="I93" i="12"/>
  <c r="I58" i="12"/>
  <c r="I39" i="12"/>
  <c r="I84" i="12"/>
  <c r="G16" i="12"/>
  <c r="G27" i="12"/>
  <c r="F79" i="12"/>
  <c r="F75" i="12"/>
  <c r="G94" i="12"/>
  <c r="G81" i="12"/>
  <c r="G78" i="12"/>
  <c r="F59" i="12"/>
  <c r="F45" i="12"/>
  <c r="F95" i="12"/>
  <c r="F12" i="12"/>
  <c r="F61" i="12"/>
  <c r="G48" i="12"/>
  <c r="G51" i="12"/>
  <c r="G52" i="12"/>
  <c r="G49" i="12"/>
  <c r="G43" i="12"/>
  <c r="G57" i="12"/>
  <c r="G29" i="12"/>
  <c r="G38" i="12"/>
  <c r="G91" i="12"/>
  <c r="G92" i="12"/>
  <c r="G86" i="12"/>
  <c r="G34" i="12"/>
  <c r="I71" i="12"/>
  <c r="I83" i="12"/>
  <c r="G68" i="12"/>
  <c r="G36" i="12"/>
  <c r="G89" i="12"/>
  <c r="G35" i="12"/>
  <c r="F98" i="12"/>
  <c r="F96" i="12"/>
  <c r="F86" i="12"/>
  <c r="F41" i="12"/>
  <c r="F16" i="12"/>
  <c r="F13" i="12"/>
  <c r="G98" i="12"/>
  <c r="G55" i="12"/>
  <c r="G41" i="12"/>
  <c r="G22" i="12"/>
  <c r="G11" i="12"/>
  <c r="F63" i="12"/>
  <c r="G28" i="12"/>
  <c r="G42" i="12"/>
  <c r="G32" i="12"/>
  <c r="F11" i="12"/>
  <c r="F8" i="12"/>
  <c r="I90" i="12"/>
  <c r="I26" i="12"/>
  <c r="I88" i="12"/>
  <c r="I44" i="12"/>
  <c r="I85" i="12"/>
  <c r="I64" i="12"/>
  <c r="I65" i="12"/>
  <c r="I82" i="12"/>
  <c r="I98" i="12"/>
  <c r="I77" i="12"/>
  <c r="I61" i="12"/>
  <c r="I59" i="12"/>
  <c r="I24" i="12"/>
  <c r="I30" i="12"/>
  <c r="I27" i="12"/>
  <c r="I22" i="12"/>
  <c r="I19" i="12"/>
  <c r="I13" i="12"/>
  <c r="I12" i="12"/>
  <c r="G13" i="12"/>
  <c r="G40" i="12"/>
  <c r="G45" i="12"/>
  <c r="G59" i="12"/>
  <c r="G79" i="12"/>
  <c r="G70" i="12"/>
  <c r="G66" i="12"/>
  <c r="G63" i="12"/>
  <c r="G60" i="12"/>
  <c r="G23" i="12"/>
  <c r="G18" i="12"/>
  <c r="G17" i="12"/>
  <c r="G56" i="12"/>
  <c r="G62" i="12"/>
  <c r="G53" i="12"/>
  <c r="G26" i="12"/>
  <c r="G20" i="12"/>
  <c r="G90" i="12"/>
  <c r="G15" i="12"/>
  <c r="G14" i="12"/>
  <c r="G67" i="12"/>
  <c r="G75" i="12"/>
  <c r="G72" i="12"/>
  <c r="G24" i="12"/>
  <c r="G88" i="12"/>
  <c r="G74" i="12"/>
  <c r="G71" i="12"/>
  <c r="G95" i="12"/>
  <c r="G83" i="12"/>
  <c r="G84" i="12"/>
  <c r="G47" i="12"/>
  <c r="G33" i="12"/>
  <c r="G9" i="12"/>
  <c r="G7" i="12"/>
  <c r="F30" i="12"/>
  <c r="F60" i="12"/>
  <c r="F50" i="12"/>
  <c r="F93" i="12"/>
  <c r="F21" i="12"/>
  <c r="F42" i="12"/>
  <c r="F51" i="12"/>
  <c r="F72" i="12"/>
  <c r="F17" i="12"/>
  <c r="F53" i="12"/>
  <c r="F77" i="12"/>
  <c r="F49" i="12"/>
  <c r="F38" i="12"/>
  <c r="F73" i="12"/>
  <c r="F91" i="12"/>
  <c r="F47" i="12"/>
  <c r="F15" i="12"/>
  <c r="F90" i="12"/>
  <c r="F14" i="12"/>
  <c r="F67" i="12"/>
  <c r="F44" i="12"/>
  <c r="F48" i="12"/>
  <c r="F65" i="12"/>
  <c r="F62" i="12"/>
  <c r="F97" i="12"/>
  <c r="F23" i="12"/>
  <c r="F29" i="12"/>
  <c r="F28" i="12"/>
  <c r="F55" i="12"/>
  <c r="F88" i="12"/>
  <c r="F80" i="12"/>
  <c r="F43" i="12"/>
  <c r="F39" i="12"/>
  <c r="F58" i="12"/>
  <c r="F40" i="12"/>
  <c r="F32" i="12"/>
  <c r="F84" i="12"/>
  <c r="F19" i="12"/>
  <c r="F68" i="12"/>
  <c r="F92" i="12"/>
  <c r="F89" i="12"/>
  <c r="F78" i="12"/>
  <c r="F56" i="12"/>
  <c r="F36" i="12"/>
  <c r="F33" i="12"/>
  <c r="F26" i="12"/>
  <c r="I15" i="12"/>
  <c r="I94" i="12"/>
  <c r="I17" i="12"/>
  <c r="I81" i="12"/>
  <c r="I34" i="12"/>
  <c r="I80" i="12"/>
  <c r="I9" i="12"/>
  <c r="I72" i="12"/>
  <c r="I63" i="12"/>
  <c r="I52" i="12"/>
  <c r="I50" i="12"/>
  <c r="I40" i="12"/>
  <c r="I11" i="12"/>
  <c r="I73" i="12"/>
  <c r="I67" i="12"/>
  <c r="I60" i="12"/>
  <c r="I70" i="12"/>
  <c r="I41" i="12"/>
  <c r="I14" i="12"/>
  <c r="I57" i="12"/>
  <c r="I21" i="12"/>
  <c r="I92" i="12"/>
  <c r="I78" i="12"/>
  <c r="I55" i="12"/>
  <c r="I49" i="12"/>
  <c r="I42" i="12"/>
  <c r="I68" i="12"/>
  <c r="G80" i="12"/>
  <c r="G8" i="12"/>
  <c r="I36" i="12"/>
  <c r="F64" i="12"/>
  <c r="F57" i="12"/>
  <c r="E16" i="12"/>
  <c r="E83" i="12"/>
  <c r="E21" i="12"/>
  <c r="E85" i="12"/>
  <c r="G85" i="12"/>
  <c r="G82" i="12"/>
  <c r="G44" i="12"/>
  <c r="G10" i="12"/>
  <c r="I18" i="12"/>
  <c r="I95" i="12"/>
  <c r="I74" i="12"/>
  <c r="F66" i="12"/>
  <c r="E18" i="12"/>
  <c r="G77" i="12"/>
  <c r="G39" i="12"/>
  <c r="I66" i="12"/>
  <c r="F34" i="12"/>
  <c r="E27" i="12"/>
  <c r="E66" i="12"/>
  <c r="I62" i="12"/>
  <c r="I91" i="12"/>
  <c r="I8" i="12"/>
  <c r="I32" i="12"/>
  <c r="G93" i="12"/>
  <c r="G50" i="12"/>
  <c r="G19" i="12"/>
  <c r="G12" i="12"/>
  <c r="I16" i="12"/>
  <c r="I38" i="12"/>
  <c r="I31" i="12"/>
  <c r="F74" i="12"/>
  <c r="G73" i="12"/>
  <c r="I43" i="12"/>
  <c r="G96" i="12"/>
  <c r="G64" i="12"/>
  <c r="G61" i="12"/>
  <c r="G58" i="12"/>
  <c r="G30" i="12"/>
  <c r="G21" i="12"/>
  <c r="I23" i="12"/>
  <c r="I10" i="12"/>
  <c r="I56" i="12"/>
  <c r="I47" i="12"/>
  <c r="I33" i="12"/>
  <c r="I29" i="12"/>
  <c r="I7" i="12"/>
  <c r="F94" i="12"/>
  <c r="F83" i="12"/>
  <c r="F24" i="12"/>
  <c r="F20" i="12"/>
  <c r="G97" i="12"/>
  <c r="G65" i="12"/>
  <c r="H24" i="12" l="1"/>
  <c r="D24" i="12" s="1"/>
  <c r="B24" i="12" s="1"/>
  <c r="H45" i="12"/>
  <c r="D45" i="12" s="1"/>
  <c r="B45" i="12" s="1"/>
  <c r="H35" i="12"/>
  <c r="D35" i="12" s="1"/>
  <c r="B35" i="12" s="1"/>
  <c r="H59" i="12"/>
  <c r="D59" i="12" s="1"/>
  <c r="B59" i="12" s="1"/>
  <c r="H81" i="12"/>
  <c r="D81" i="12" s="1"/>
  <c r="B81" i="12" s="1"/>
  <c r="H20" i="12"/>
  <c r="D20" i="12" s="1"/>
  <c r="B20" i="12" s="1"/>
  <c r="H73" i="12"/>
  <c r="D73" i="12" s="1"/>
  <c r="B73" i="12" s="1"/>
  <c r="H15" i="12"/>
  <c r="D15" i="12" s="1"/>
  <c r="B15" i="12" s="1"/>
  <c r="H21" i="12"/>
  <c r="D21" i="12" s="1"/>
  <c r="B21" i="12" s="1"/>
  <c r="H62" i="12"/>
  <c r="D62" i="12" s="1"/>
  <c r="B62" i="12" s="1"/>
  <c r="H26" i="12"/>
  <c r="D26" i="12" s="1"/>
  <c r="B26" i="12" s="1"/>
  <c r="H98" i="12"/>
  <c r="D98" i="12" s="1"/>
  <c r="B98" i="12" s="1"/>
  <c r="H68" i="12"/>
  <c r="D68" i="12" s="1"/>
  <c r="B68" i="12" s="1"/>
  <c r="H13" i="12"/>
  <c r="D13" i="12" s="1"/>
  <c r="B13" i="12" s="1"/>
  <c r="H86" i="12"/>
  <c r="D86" i="12" s="1"/>
  <c r="B86" i="12" s="1"/>
  <c r="H85" i="12"/>
  <c r="D85" i="12" s="1"/>
  <c r="B85" i="12" s="1"/>
  <c r="H41" i="12"/>
  <c r="D41" i="12" s="1"/>
  <c r="B41" i="12" s="1"/>
  <c r="H33" i="12"/>
  <c r="D33" i="12" s="1"/>
  <c r="B33" i="12" s="1"/>
  <c r="H12" i="12"/>
  <c r="D12" i="12" s="1"/>
  <c r="B12" i="12" s="1"/>
  <c r="H30" i="12"/>
  <c r="D30" i="12" s="1"/>
  <c r="B30" i="12" s="1"/>
  <c r="H53" i="12"/>
  <c r="D53" i="12" s="1"/>
  <c r="B53" i="12" s="1"/>
  <c r="H71" i="12"/>
  <c r="D71" i="12" s="1"/>
  <c r="B71" i="12" s="1"/>
  <c r="H29" i="12"/>
  <c r="D29" i="12" s="1"/>
  <c r="B29" i="12" s="1"/>
  <c r="H32" i="12"/>
  <c r="D32" i="12" s="1"/>
  <c r="B32" i="12" s="1"/>
  <c r="H60" i="12"/>
  <c r="D60" i="12" s="1"/>
  <c r="B60" i="12" s="1"/>
  <c r="H48" i="12"/>
  <c r="D48" i="12" s="1"/>
  <c r="B48" i="12" s="1"/>
  <c r="H97" i="12"/>
  <c r="D97" i="12" s="1"/>
  <c r="B97" i="12" s="1"/>
  <c r="H94" i="12"/>
  <c r="D94" i="12" s="1"/>
  <c r="B94" i="12" s="1"/>
  <c r="H65" i="12"/>
  <c r="D65" i="12" s="1"/>
  <c r="B65" i="12" s="1"/>
  <c r="H28" i="12"/>
  <c r="D28" i="12" s="1"/>
  <c r="B28" i="12" s="1"/>
  <c r="H17" i="12"/>
  <c r="D17" i="12" s="1"/>
  <c r="B17" i="12" s="1"/>
  <c r="H78" i="12"/>
  <c r="D78" i="12" s="1"/>
  <c r="B78" i="12" s="1"/>
  <c r="H22" i="12"/>
  <c r="D22" i="12" s="1"/>
  <c r="B22" i="12" s="1"/>
  <c r="H61" i="12"/>
  <c r="D61" i="12" s="1"/>
  <c r="B61" i="12" s="1"/>
  <c r="H19" i="12"/>
  <c r="D19" i="12" s="1"/>
  <c r="B19" i="12" s="1"/>
  <c r="H58" i="12"/>
  <c r="D58" i="12" s="1"/>
  <c r="B58" i="12" s="1"/>
  <c r="H93" i="12"/>
  <c r="D93" i="12" s="1"/>
  <c r="B93" i="12" s="1"/>
  <c r="H55" i="12"/>
  <c r="D55" i="12" s="1"/>
  <c r="B55" i="12" s="1"/>
  <c r="H90" i="12"/>
  <c r="D90" i="12" s="1"/>
  <c r="B90" i="12" s="1"/>
  <c r="H39" i="12"/>
  <c r="D39" i="12" s="1"/>
  <c r="B39" i="12" s="1"/>
  <c r="H42" i="12"/>
  <c r="D42" i="12" s="1"/>
  <c r="B42" i="12" s="1"/>
  <c r="H8" i="12"/>
  <c r="D8" i="12" s="1"/>
  <c r="H27" i="12"/>
  <c r="D27" i="12" s="1"/>
  <c r="B27" i="12" s="1"/>
  <c r="H47" i="12"/>
  <c r="D47" i="12" s="1"/>
  <c r="B47" i="12" s="1"/>
  <c r="H64" i="12"/>
  <c r="D64" i="12" s="1"/>
  <c r="B64" i="12" s="1"/>
  <c r="H82" i="12"/>
  <c r="D82" i="12" s="1"/>
  <c r="B82" i="12" s="1"/>
  <c r="H10" i="12"/>
  <c r="D10" i="12" s="1"/>
  <c r="B10" i="12" s="1"/>
  <c r="H83" i="12"/>
  <c r="D83" i="12" s="1"/>
  <c r="B83" i="12" s="1"/>
  <c r="H7" i="12"/>
  <c r="H23" i="12"/>
  <c r="D23" i="12" s="1"/>
  <c r="B23" i="12" s="1"/>
  <c r="H43" i="12"/>
  <c r="D43" i="12" s="1"/>
  <c r="B43" i="12" s="1"/>
  <c r="H80" i="12"/>
  <c r="D80" i="12" s="1"/>
  <c r="B80" i="12" s="1"/>
  <c r="H40" i="12"/>
  <c r="D40" i="12" s="1"/>
  <c r="B40" i="12" s="1"/>
  <c r="H77" i="12"/>
  <c r="D77" i="12" s="1"/>
  <c r="B77" i="12" s="1"/>
  <c r="H95" i="12"/>
  <c r="D95" i="12" s="1"/>
  <c r="B95" i="12" s="1"/>
  <c r="H79" i="12"/>
  <c r="D79" i="12" s="1"/>
  <c r="B79" i="12" s="1"/>
  <c r="H96" i="12"/>
  <c r="D96" i="12" s="1"/>
  <c r="B96" i="12" s="1"/>
  <c r="H75" i="12"/>
  <c r="D75" i="12" s="1"/>
  <c r="B75" i="12" s="1"/>
  <c r="H16" i="12"/>
  <c r="D16" i="12" s="1"/>
  <c r="B16" i="12" s="1"/>
  <c r="H34" i="12"/>
  <c r="D34" i="12" s="1"/>
  <c r="B34" i="12" s="1"/>
  <c r="H72" i="12"/>
  <c r="D72" i="12" s="1"/>
  <c r="B72" i="12" s="1"/>
  <c r="H36" i="12"/>
  <c r="D36" i="12" s="1"/>
  <c r="B36" i="12" s="1"/>
  <c r="H31" i="12"/>
  <c r="D31" i="12" s="1"/>
  <c r="B31" i="12" s="1"/>
  <c r="H51" i="12"/>
  <c r="D51" i="12" s="1"/>
  <c r="B51" i="12" s="1"/>
  <c r="H14" i="12"/>
  <c r="D14" i="12" s="1"/>
  <c r="B14" i="12" s="1"/>
  <c r="H52" i="12"/>
  <c r="D52" i="12" s="1"/>
  <c r="B52" i="12" s="1"/>
  <c r="H70" i="12"/>
  <c r="D70" i="12" s="1"/>
  <c r="B70" i="12" s="1"/>
  <c r="H88" i="12"/>
  <c r="D88" i="12" s="1"/>
  <c r="B88" i="12" s="1"/>
  <c r="H11" i="12"/>
  <c r="D11" i="12" s="1"/>
  <c r="B11" i="12" s="1"/>
  <c r="H49" i="12"/>
  <c r="D49" i="12" s="1"/>
  <c r="B49" i="12" s="1"/>
  <c r="H66" i="12"/>
  <c r="D66" i="12" s="1"/>
  <c r="B66" i="12" s="1"/>
  <c r="H84" i="12"/>
  <c r="D84" i="12" s="1"/>
  <c r="B84" i="12" s="1"/>
  <c r="H9" i="12"/>
  <c r="D9" i="12" s="1"/>
  <c r="B9" i="12" s="1"/>
  <c r="H44" i="12"/>
  <c r="D44" i="12" s="1"/>
  <c r="B44" i="12" s="1"/>
  <c r="H63" i="12"/>
  <c r="D63" i="12" s="1"/>
  <c r="B63" i="12" s="1"/>
  <c r="H56" i="12"/>
  <c r="D56" i="12" s="1"/>
  <c r="B56" i="12" s="1"/>
  <c r="H91" i="12"/>
  <c r="D91" i="12" s="1"/>
  <c r="B91" i="12" s="1"/>
  <c r="H18" i="12"/>
  <c r="D18" i="12" s="1"/>
  <c r="B18" i="12" s="1"/>
  <c r="H38" i="12"/>
  <c r="D38" i="12" s="1"/>
  <c r="B38" i="12" s="1"/>
  <c r="H57" i="12"/>
  <c r="D57" i="12" s="1"/>
  <c r="B57" i="12" s="1"/>
  <c r="H74" i="12"/>
  <c r="D74" i="12" s="1"/>
  <c r="B74" i="12" s="1"/>
  <c r="H92" i="12"/>
  <c r="D92" i="12" s="1"/>
  <c r="B92" i="12" s="1"/>
  <c r="H89" i="12"/>
  <c r="D89" i="12" s="1"/>
  <c r="B89" i="12" s="1"/>
  <c r="H50" i="12"/>
  <c r="D50" i="12" s="1"/>
  <c r="B50" i="12" s="1"/>
  <c r="H67" i="12"/>
  <c r="D67" i="12" s="1"/>
  <c r="B67" i="12" s="1"/>
  <c r="B8" i="12" l="1"/>
  <c r="D7" i="12"/>
  <c r="B7" i="12" l="1"/>
</calcChain>
</file>

<file path=xl/sharedStrings.xml><?xml version="1.0" encoding="utf-8"?>
<sst xmlns="http://schemas.openxmlformats.org/spreadsheetml/2006/main" count="4107" uniqueCount="692">
  <si>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</si>
  <si>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</si>
  <si>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</si>
  <si>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</si>
  <si>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</si>
  <si>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</si>
  <si>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</si>
  <si>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</si>
  <si>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</si>
  <si>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</si>
  <si>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</si>
  <si>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</si>
  <si>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</si>
  <si>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</si>
  <si>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</si>
  <si>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</si>
  <si>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</si>
  <si>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</si>
  <si>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</si>
  <si>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</si>
  <si>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</si>
  <si>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</si>
  <si>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</si>
  <si>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</si>
  <si>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</si>
  <si>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</si>
  <si>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</si>
  <si>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</si>
  <si>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</si>
  <si>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</si>
  <si>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</si>
  <si>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</si>
  <si>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</si>
  <si>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</si>
  <si>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</si>
  <si>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</si>
  <si>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</si>
  <si>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</si>
  <si>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</si>
  <si>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</si>
  <si>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</si>
  <si>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</si>
  <si>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</si>
  <si>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</si>
  <si>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</si>
  <si>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</si>
  <si>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</si>
  <si>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</si>
  <si>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</si>
  <si>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</si>
  <si>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</si>
  <si>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</si>
  <si>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</si>
  <si>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</si>
  <si>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</si>
  <si>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</si>
  <si>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</si>
  <si>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</si>
  <si>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</si>
  <si>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</si>
  <si>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</si>
  <si>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</si>
  <si>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</si>
  <si>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</si>
  <si>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</si>
  <si>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</si>
  <si>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</si>
  <si>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</si>
  <si>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</si>
  <si>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</si>
  <si>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</si>
  <si>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</si>
  <si>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</si>
  <si>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</si>
  <si>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</si>
  <si>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</si>
  <si>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</si>
  <si>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</si>
  <si>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</si>
  <si>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</si>
  <si>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</si>
  <si>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</si>
  <si>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</si>
  <si>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</si>
  <si>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</si>
  <si>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</si>
  <si>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Вопросы и варианты ответов</t>
  </si>
  <si>
    <t>Баллы</t>
  </si>
  <si>
    <t>Понижающие коэффициенты</t>
  </si>
  <si>
    <t>Республика Крым</t>
  </si>
  <si>
    <t>Итого</t>
  </si>
  <si>
    <t>баллы</t>
  </si>
  <si>
    <t>К1</t>
  </si>
  <si>
    <t>Нет, не содержится или не отвечает требованиям</t>
  </si>
  <si>
    <t>Да, содержится</t>
  </si>
  <si>
    <t>1.1</t>
  </si>
  <si>
    <t>1.2</t>
  </si>
  <si>
    <t>1.3</t>
  </si>
  <si>
    <t>1.4</t>
  </si>
  <si>
    <t>1.5</t>
  </si>
  <si>
    <t>Оценка показателя 1.2</t>
  </si>
  <si>
    <t>Оценка показателя 1.3</t>
  </si>
  <si>
    <t>Оценка показателя 1.4</t>
  </si>
  <si>
    <t xml:space="preserve">Нет, не содержится </t>
  </si>
  <si>
    <t>Максимальное количество баллов</t>
  </si>
  <si>
    <t>%</t>
  </si>
  <si>
    <t>% от максимального количества баллов по разделу 1</t>
  </si>
  <si>
    <t xml:space="preserve">№ п/п </t>
  </si>
  <si>
    <t>К2</t>
  </si>
  <si>
    <t xml:space="preserve">Да, размещен </t>
  </si>
  <si>
    <t>Нет, в установленные сроки не размещен</t>
  </si>
  <si>
    <t>Номер закона</t>
  </si>
  <si>
    <t>-</t>
  </si>
  <si>
    <t>Оценка показателя 1.1</t>
  </si>
  <si>
    <t>Дата подписания закона</t>
  </si>
  <si>
    <t>Дополнительный комментарий к оценке показателя и применению понижающих коэффициентов</t>
  </si>
  <si>
    <t>Ссылка на источник данных</t>
  </si>
  <si>
    <t>Сайт финоргана или страница, где публикуются бюджетные данные, на сайте исполнительных органов власти</t>
  </si>
  <si>
    <t>Специализированный портал для публикации бюджетных данных</t>
  </si>
  <si>
    <t>Детализация по безвозмездным поступлениям</t>
  </si>
  <si>
    <t>Оценка показателя 1.5</t>
  </si>
  <si>
    <t>нет данных</t>
  </si>
  <si>
    <t>Да</t>
  </si>
  <si>
    <t>Нет</t>
  </si>
  <si>
    <t>http://dtf.avo.ru/zakony-vladimirskoj-oblasti</t>
  </si>
  <si>
    <t>http://budget.mosreg.ru/byudzhet-dlya-grazhdan/zakon-o-byudzhete-mo/</t>
  </si>
  <si>
    <t>http://dfei.adm-nao.ru/zakony-o-byudzhete/</t>
  </si>
  <si>
    <t>http://minfin.kalmregion.ru/deyatelnost/byudzhet-respubliki-kalmykiya/</t>
  </si>
  <si>
    <t>http://mf.nnov.ru/index.php?option=com_k2&amp;view=item&amp;id=1509:zakony-ob-oblastnom-byudzhete-na-ocherednoj-finansovyj-god-i-na-planovyj-period&amp;Itemid=553</t>
  </si>
  <si>
    <t>http://finance.pnzreg.ru/docs/bpo/osnzakon.php</t>
  </si>
  <si>
    <t>http://www.minfin74.ru/mBudget/law/</t>
  </si>
  <si>
    <t xml:space="preserve">Дата подписания закона </t>
  </si>
  <si>
    <t>Комментарий</t>
  </si>
  <si>
    <t>для общего объема субсидий</t>
  </si>
  <si>
    <t>для распределенных субсидий</t>
  </si>
  <si>
    <t>Детализация по налоговым и неналоговым доходам</t>
  </si>
  <si>
    <t>Номер приложения</t>
  </si>
  <si>
    <t xml:space="preserve">Комментарий </t>
  </si>
  <si>
    <t>Номер статьи</t>
  </si>
  <si>
    <t>В случае размещения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</si>
  <si>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В целях составления рейтинга надлежащей практикой считается размещение в открытом доступе закона о бюджете в течение десяти рабочих дней с даты его подписания. В случае если указанное требование не выполняется, оценка показателя принимает значение 0 баллов.</t>
  </si>
  <si>
    <t>РАЗДЕЛ 1.    ПЕРВОНАЧАЛЬНО УТВЕРЖДЕННЫЙ БЮДЖЕТ</t>
  </si>
  <si>
    <t>http://df.ivanovoobl.ru/regionalnye-finansy/zakon-ob-oblastnom-byudzhete/</t>
  </si>
  <si>
    <t>https://dvinaland.ru/budget/zakon/</t>
  </si>
  <si>
    <t>https://minfin39.ru/budget/process/current/</t>
  </si>
  <si>
    <t>http://minfin.krskstate.ru/openbudget/law</t>
  </si>
  <si>
    <t>1, 2</t>
  </si>
  <si>
    <t>3, 4</t>
  </si>
  <si>
    <t>5, 6</t>
  </si>
  <si>
    <t>6, 7</t>
  </si>
  <si>
    <t>1-4</t>
  </si>
  <si>
    <t>4, 5</t>
  </si>
  <si>
    <t>1, 3</t>
  </si>
  <si>
    <t>10, 11</t>
  </si>
  <si>
    <t>9, 10</t>
  </si>
  <si>
    <t>8, 9</t>
  </si>
  <si>
    <t>7, 8</t>
  </si>
  <si>
    <t>12, 13</t>
  </si>
  <si>
    <t>Детализация бюджетных ассигнований</t>
  </si>
  <si>
    <t>Раздел</t>
  </si>
  <si>
    <t>Подраздел</t>
  </si>
  <si>
    <t>6 (таблицы 1.1, 1.2)</t>
  </si>
  <si>
    <t>11, 12</t>
  </si>
  <si>
    <t>14, 15</t>
  </si>
  <si>
    <t>нет</t>
  </si>
  <si>
    <t>http://minfinrd.ru/svedeniya_ob_ispolzovanii_vydelyaemykh_byudzhetnykh_sredstv</t>
  </si>
  <si>
    <t>5, 5.1</t>
  </si>
  <si>
    <t xml:space="preserve">Дата размещения закона </t>
  </si>
  <si>
    <t>1, 1а</t>
  </si>
  <si>
    <t>9, 9а</t>
  </si>
  <si>
    <t xml:space="preserve">К1   </t>
  </si>
  <si>
    <t>поиск не проводился</t>
  </si>
  <si>
    <t xml:space="preserve">http://bryanskoblfin.ru/Show/Category/10?ItemId=4 </t>
  </si>
  <si>
    <t>http://ufin48.ru/Show/Tag/Бюджет</t>
  </si>
  <si>
    <t>портал не работает</t>
  </si>
  <si>
    <t>https://minfin.tularegion.ru/documents/?SECTION=1579</t>
  </si>
  <si>
    <t>https://www.yarregion.ru/depts/depfin/tmpPages/docs.aspx</t>
  </si>
  <si>
    <t>https://minfin.gov-murman.ru/open-budget/regional_budget/law_of_budget/</t>
  </si>
  <si>
    <t>http://www.mfsk.ru/law/z_sk</t>
  </si>
  <si>
    <t>переадресация на СП: http://ufo.ulntc.ru/index.php?mgf=budget/open_budget&amp;slep=net</t>
  </si>
  <si>
    <t>https://minfin.midural.ru/document/category/20%20-%20document_list#document_list</t>
  </si>
  <si>
    <t>http://mfnso.nso.ru/page/3777</t>
  </si>
  <si>
    <t>https://minfin.75.ru/byudzhet/konsolidirovannyy-kraevoy-byudzhet/zakony-o-byudzhete</t>
  </si>
  <si>
    <t>https://primorsky.ru/authorities/executive-agencies/departments/finance/laws.php</t>
  </si>
  <si>
    <t>переадресация на СП: https://www.fin.amurobl.ru/pages/normativno-pravovye-akty/regionalnyy-uroven/zakony-ao/</t>
  </si>
  <si>
    <t>переадресация на СП: http://sakhminfin.ru/</t>
  </si>
  <si>
    <t>переадресация на СП: http://чукотка.рф/vlast/organy-vlasti/depfin/</t>
  </si>
  <si>
    <t>33</t>
  </si>
  <si>
    <t>https://fincom.gov.spb.ru/budget/info/acts/1</t>
  </si>
  <si>
    <t>Для оценки показателя, как минимум, должны быть представлены сведения с детализацией по статьям доходов для 1, 3, 5, 6 и 7 подгрупп 1 группы и для 2 подгруппы 2 группы классификации доходов бюджетов. Если указанные требования не выполняются, оценка показателя принимает значение 0 баллов.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t>
  </si>
  <si>
    <t>Менее 50% или расчет показателя затруднен</t>
  </si>
  <si>
    <t>K1</t>
  </si>
  <si>
    <t>нет портала</t>
  </si>
  <si>
    <t>Дата подписания</t>
  </si>
  <si>
    <t>Общий объем субсидий, тыс. рублей</t>
  </si>
  <si>
    <t>Доля субсидий, распределенных по муниципальным образованиям законом о бюджете, %</t>
  </si>
  <si>
    <t xml:space="preserve">Способ получения сведений об общем объеме субсидий местным бюджетам </t>
  </si>
  <si>
    <t>Объем субсидий, распределенных по муниципальным образованиям законом о бюджете, тыс. рублей **</t>
  </si>
  <si>
    <t>да</t>
  </si>
  <si>
    <t>- *</t>
  </si>
  <si>
    <t>** В целях оценки показателя из объема распределенных по муниципальным образованиям субсидий исключены нераспределенные средства (резервы).</t>
  </si>
  <si>
    <t>Нет сведений о налоговых и неналоговых доходах.</t>
  </si>
  <si>
    <t>Нет детализации налоговых и неналоговых доходов.</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</si>
  <si>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</si>
  <si>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</si>
  <si>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</si>
  <si>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</si>
  <si>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В целях оценки показателя учитывается размещение закона о бюджете в полном объеме, включая текстовую часть и все приложения к закону. В случае если указанное требование не выполняется (размещены отдельные составляющие закона), оценка показателя принимает значение 0 баллов. Допускается размещение текстовой части закона в графическом формате.</t>
  </si>
  <si>
    <t>Если в законе о бюджете сведения об общем объеме межбюджетных трансфертов, предусмотренных местным бюджетам с детализацией по формам межбюджетных трансфертов, содержатся только в составе ведомственной, программной или функциональной структуры расходов, применяется понижающий коэффициент, используемый в связи с затрудненным поиском бюджетных данных.</t>
  </si>
  <si>
    <t>Полнота сведений (все составляющие, включая приложения)</t>
  </si>
  <si>
    <t>Используется не только графический формат</t>
  </si>
  <si>
    <t>Наличие структуры документа</t>
  </si>
  <si>
    <t>Наличие наименований составляющих</t>
  </si>
  <si>
    <t>105-З</t>
  </si>
  <si>
    <t xml:space="preserve">не размещено: http://mef.mosreg.ru </t>
  </si>
  <si>
    <t>https://orel-region.ru/index.php?head=20&amp;part=25&amp;in=131</t>
  </si>
  <si>
    <t>https://minfin.ryazangov.ru/documents/documents_RO/zakony-ob-oblastnom-byudzhete-ryazanskoy-oblasti/index.php</t>
  </si>
  <si>
    <t xml:space="preserve">не размещено: http://www.tverfin.ru/np-baza/regionalnye-normativnye-pravovye-akty/ </t>
  </si>
  <si>
    <t xml:space="preserve">не размещено: https://www.mos.ru/findep/ </t>
  </si>
  <si>
    <t>9, 9.1</t>
  </si>
  <si>
    <t>не размещено: http://finance.pskov.ru/doc/documents</t>
  </si>
  <si>
    <t>не размещено: http://bks.pskov.ru/ebudget/Show/Category/10?ItemId=257</t>
  </si>
  <si>
    <t>http://minfin09.ru/category/load/%d0%b1%d1%8e%d0%b4%d0%b6%d0%b5%d1%82-%d1%80%d0%b5%d1%81%d0%bf%d1%83%d0%b1%d0%bb%d0%b8%d0%ba%d0%b8/2021/</t>
  </si>
  <si>
    <t>http://www.minfin.kirov.ru/otkrytyy-byudzhet/dlya-spetsialistov/oblastnoy-byudzhet/%d0%9f%d0%bb%d0%b0%d0%bd%d0%b8%d1%80%d0%be%d0%b2%d0%b0%d0%bd%d0%b8%d0%b5%20%d0%b1%d1%8e%d0%b4%d0%b6%d0%b5%d1%82%d0%b0/</t>
  </si>
  <si>
    <t>переадресация на СП: http://saratov.gov.ru/gov/auth/minfin/</t>
  </si>
  <si>
    <t>https://irkobl.ru/sites/minfin/activity/obl/</t>
  </si>
  <si>
    <t>не размещено: https://minfin.49gov.ru/documents/</t>
  </si>
  <si>
    <t>ст. 13</t>
  </si>
  <si>
    <t>Исходные данные и оценка показателя "1.1 Размещен ли первоначально принятый закон о бюджете на 2022 год и на плановый период 2023 и 2024 годов в открытом доступе на сайте, предназначенном для размещения бюджетных данных?"</t>
  </si>
  <si>
    <t>1.1 Размещен ли первоначально принятый закон о бюджете на 2022 год и на плановый период 2023 и 2024 годов в открытом доступе на сайте, предназначенном для размещения бюджетных данных?</t>
  </si>
  <si>
    <t>1.2 Содержится ли в составе закона о бюджете приложение о прогнозируемых объемах поступлений по видам доходов на 2022 год и на плановый период 2023 и 2024 годов?</t>
  </si>
  <si>
    <t>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2022 год и на плановый период 2023 и 2024 годов?</t>
  </si>
  <si>
    <r>
      <t xml:space="preserve">Результаты оценки уровня открытости бюджетных данных субъектов Российской Федерации по разделу 1 "Первоначально утвержденный бюджет" за 2022 год </t>
    </r>
    <r>
      <rPr>
        <sz val="9"/>
        <rFont val="Times New Roman"/>
        <family val="1"/>
        <charset val="204"/>
      </rPr>
      <t>(группировка по федеральным округам)</t>
    </r>
  </si>
  <si>
    <t>Размещен ли первоначально принятый закон о бюджете на 2022 год и на плановый период 2023 и 2024 годов в открытом доступе на сайте, предназначенном для размещения бюджетных данных?</t>
  </si>
  <si>
    <t>Содержится ли в составе закона о бюджете приложение о прогнозируемых объемах поступлений по видам доходов на 2022 год и на плановый период 2023 и 2024 годов?</t>
  </si>
  <si>
    <t>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2022 год и на плановый период 2023 и 2024 годов?</t>
  </si>
  <si>
    <t>Для оценки показателей раздела используется первоначально принятый закон субъекта Российской Федерации о бюджете на 2022 год и на плановый период 2022 и 2023 годов. Иные документы и материалы в целях оценки показателей раздела не учитываются.</t>
  </si>
  <si>
    <t>Исходные данные и оценка показателя "1.2 Содержится ли в составе закона о бюджете приложение о прогнозируемых объемах поступлений по видам доходов на 2022 год и на плановый период 2023 и 2024 годов?"</t>
  </si>
  <si>
    <t>Источник данных: Закон субъекта РФ о бюджете на 2022 год и на плановый период 2023 и 2024 годов</t>
  </si>
  <si>
    <t>Исходные данные и оценка показателя "1.3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2022 год и на плановый период 2023 и 2024 годов?"</t>
  </si>
  <si>
    <t>http://beldepfin.ru/dokumenty/vse-dokumenty/zakon-belgorodskoj-oblasti-ot-16-dekabrya-2021-god/</t>
  </si>
  <si>
    <t>https://www.govvrn.ru/npafin?p_p_id=Foldersanddocuments_WAR_foldersanddocumentsportlet&amp;p_p_lifecycle=0&amp;p_p_state=normal&amp;p_p_mode=view&amp;folderId=9206361</t>
  </si>
  <si>
    <t>https://pre.admoblkaluga.ru/main/work/finances/budget/2022-2024_1.php</t>
  </si>
  <si>
    <t>http://depfin.adm44.ru/Budget/Zakon/Zakon22/</t>
  </si>
  <si>
    <t>https://kursk.ru/region/economy/page-153264/</t>
  </si>
  <si>
    <t>http://www.finsmol.ru/zbudget/a0oAgZ8SSXRf</t>
  </si>
  <si>
    <t>https://fin.tmbreg.ru/6347/2010/9821.html</t>
  </si>
  <si>
    <t>https://portal.tverfin.ru/Menu/Page/645</t>
  </si>
  <si>
    <t>https://budget.mos.ru/budget</t>
  </si>
  <si>
    <t>http://minfin.karelia.ru/zakon-o-bjudzhete-6/</t>
  </si>
  <si>
    <t>https://minfin.rkomi.ru/deyatelnost/byudjet/zakony-respubliki-komi-proekty-zakonov-o-respublikanskom-byudjete-respubliki-komi-i-vnesenii-izmeneniy-v-nego/byudjet-na-2022-2024-gody</t>
  </si>
  <si>
    <t>https://df.gov35.ru/otkrytyy-byudzhet/zakony-ob-oblastnom-byudzhete/2022/index.php?ELEMENT_ID=14048</t>
  </si>
  <si>
    <t>https://finance.lenobl.ru/ru/pravovaya-baza/oblastnoe-zakondatelstvo/byudzhet-lo/ob2022/</t>
  </si>
  <si>
    <t>http://minfin01-maykop.ru/Show/Content/3054?ParentItemId=55</t>
  </si>
  <si>
    <t>https://minfin.rk.gov.ru/ru/structure/2021_12_14_16_33_zakon_respubliki_krym_o_biudzhete_respubliki_krym_na_2022_god_i_na_planovyi_period_2023_i_2024_godov_ot_09_12_2021_242_zrk_2021</t>
  </si>
  <si>
    <t>https://minfinkubani.ru/budget_execution/detail.php?ID=90015&amp;IBLOCK_ID=31&amp;str_date=23.12.2021</t>
  </si>
  <si>
    <t>https://minfin.donland.ru/documents/active/115063/</t>
  </si>
  <si>
    <t>https://ob.sev.gov.ru/dokumenty/zakon-o-byudzhete/2022-i-planovyj-period-2023-2024-gg</t>
  </si>
  <si>
    <t>https://minfin.kbr.ru/activity/byudzhet/</t>
  </si>
  <si>
    <t>http://minfin.alania.gov.ru/index.php/pages/763</t>
  </si>
  <si>
    <t>https://minfin.bashkortostan.ru/documents/active/391235/</t>
  </si>
  <si>
    <t>https://www.minfinrm.ru/norm-akty-new/zakony/norm-prav-akty/budget-2022/</t>
  </si>
  <si>
    <t>https://minfin.tatarstan.ru/2022.htm?pub_id=3026165</t>
  </si>
  <si>
    <t>https://www.mfur.ru/budjet/formirovanie/2022-god.php</t>
  </si>
  <si>
    <t>https://minfin.cap.ru/action/activity/byudzhet/respublikanskij-byudzhet-chuvashskoj-respubliki/2022-god/zakon-chuvashskoj-respubliki-ot-25-noyabrya-2021-g</t>
  </si>
  <si>
    <t>https://mfin.permkrai.ru/dokumenty/171433/</t>
  </si>
  <si>
    <t>https://minfin-samara.ru/2022-2024/</t>
  </si>
  <si>
    <t>https://minfin.saratov.gov.ru/budget/zakon-o-byudzhete/zakon-ob-oblastnom-byudzhete/zakon-ob-oblastnom-byudzhete-2022-2024-g</t>
  </si>
  <si>
    <t>http://ufo.ulntc.ru:8080/dokumenty/utverzhdennyj-zakon-o-byudzhete/2022-god</t>
  </si>
  <si>
    <t>http://www.finupr.kurganobl.ru/index.php?test=bud22</t>
  </si>
  <si>
    <t>https://admtyumen.ru/ogv_ru/finance/finance/bugjet/more.htm?id=11938559@cmsArticle</t>
  </si>
  <si>
    <t>https://depfin.admhmao.ru/otkrytyy-byudzhet/planirovanie-byudzheta/zakony-o-byudzhete-avtonomnogo-okruga/na-2022-god-i-na-planovyy-period-2023-i-2024-godov/6477072/zakon-khanty-mansiyskogo-avtonomnogo-okruga-yugry-ot-25-11-2021-goda-85-oz-o-byudzhete-khanty-mansiy/</t>
  </si>
  <si>
    <t>https://www.yamalfin.ru/index.php?option=com_content&amp;view=article&amp;id=4356:2021-11-26-12-08-01&amp;catid=232:2021-11-26-11-24-33&amp;Itemid=147</t>
  </si>
  <si>
    <t>https://www.minfin-altai.ru/deyatelnost/proekt-byudzheta-zakony-o-byudzhete-zakony-ob-ispolnenii-byudzheta/2022-2024/zakon-o-byudzhete/</t>
  </si>
  <si>
    <t>https://minfin.rtyva.ru/node/19726/</t>
  </si>
  <si>
    <t>https://r-19.ru/authorities/ministry-of-finance-of-the-republic-of-khakassia/docs/8484/124736.html</t>
  </si>
  <si>
    <t>https://minfin.alregn.ru/bud/z2022/</t>
  </si>
  <si>
    <t>https://www.ofukem.ru/budget/laws2022-2024/</t>
  </si>
  <si>
    <t>https://mf.omskportal.ru/oiv/mf/otrasl/otkrbudg/obl-budget/2022-2024/01</t>
  </si>
  <si>
    <t>https://depfin.tomsk.gov.ru/documents/front/view/id/74856</t>
  </si>
  <si>
    <t>https://egov-buryatia.ru/minfin/activities/directions/respublikanskiy-byudzhet/2022-2024/zakony-o-byudzhete.php</t>
  </si>
  <si>
    <t>https://minfin.sakha.gov.ru/zakony-o-bjudzhete/2022-2024-gg/pervonachalno-utverzhdennyy-zakon</t>
  </si>
  <si>
    <t>https://www.kamgov.ru/minfin/budzet-2022</t>
  </si>
  <si>
    <t>https://minfin.khabkrai.ru/portal/Show/Content/4272?ParentItemId=227</t>
  </si>
  <si>
    <t>http://ob.fin.amurobl.ru/dokumenty/zakon/pervon_redakcia/2022</t>
  </si>
  <si>
    <t>https://openbudget.49gov.ru/dokumenty#166-2022-god</t>
  </si>
  <si>
    <t>https://openbudget.sakhminfin.ru/Menu/Page/599</t>
  </si>
  <si>
    <t>не размещено: http://volgafin.volgograd.ru/norms/acts/17581/</t>
  </si>
  <si>
    <t>не размещено: http://portal-ob.volgafin.ru/dokumenty/zakon_o_byudzhete/2021</t>
  </si>
  <si>
    <t>не размещено: http://forcitizens.ru/ob/dokumenty/zakon-o-byudzhete/2022-god</t>
  </si>
  <si>
    <t>http://old.mari-el.gov.ru/minfin/DocLib20/2022%20%D0%B3%D0%BE%D0%B4/zakonobudgete2022-2024.aspx</t>
  </si>
  <si>
    <t>http://chaogov.ru/otkrytyy-byudzhet/zakon-o-byudzhete.php</t>
  </si>
  <si>
    <t>http://openbudget.gfu.ru/budget/law/</t>
  </si>
  <si>
    <t>не размещено: http://budget.orb.ru/</t>
  </si>
  <si>
    <t>142-ОЗ</t>
  </si>
  <si>
    <t>126-ОЗ</t>
  </si>
  <si>
    <t>98-ОЗ</t>
  </si>
  <si>
    <t xml:space="preserve"> 167-ОЗ</t>
  </si>
  <si>
    <t>166-7-ЗКО</t>
  </si>
  <si>
    <t>115-ЗКО</t>
  </si>
  <si>
    <t>28-ОЗ</t>
  </si>
  <si>
    <t>252/2021-ОЗ</t>
  </si>
  <si>
    <t>2696-ОЗ</t>
  </si>
  <si>
    <t>101-ОЗ</t>
  </si>
  <si>
    <t>154-з</t>
  </si>
  <si>
    <t>4-7</t>
  </si>
  <si>
    <t>37-З</t>
  </si>
  <si>
    <t>83-ЗО</t>
  </si>
  <si>
    <t>124-ЗТО</t>
  </si>
  <si>
    <t>88-з</t>
  </si>
  <si>
    <t>2656-ЗРК</t>
  </si>
  <si>
    <t>136-РЗ</t>
  </si>
  <si>
    <t>522-31-ОЗ</t>
  </si>
  <si>
    <t>5035-ОЗ</t>
  </si>
  <si>
    <t>148-оз</t>
  </si>
  <si>
    <t>558-119</t>
  </si>
  <si>
    <t xml:space="preserve"> 2712-01-ЗМО</t>
  </si>
  <si>
    <t>https://minfin.novreg.ru/documents/563.html</t>
  </si>
  <si>
    <t>48-ОЗ</t>
  </si>
  <si>
    <t>2233-ОЗ</t>
  </si>
  <si>
    <t>303-ОЗ</t>
  </si>
  <si>
    <t>193-VI-З</t>
  </si>
  <si>
    <t>681-ЗС</t>
  </si>
  <si>
    <t>242-ЗРК/2021</t>
  </si>
  <si>
    <t>4616-КЗ</t>
  </si>
  <si>
    <t>128/2021-ОЗ</t>
  </si>
  <si>
    <t>124-ОД</t>
  </si>
  <si>
    <t>635-ЗС</t>
  </si>
  <si>
    <t>56-РЗ</t>
  </si>
  <si>
    <t>50-РЗ</t>
  </si>
  <si>
    <t>112-РЗ</t>
  </si>
  <si>
    <t>117-РЗ</t>
  </si>
  <si>
    <t>65-РЗ</t>
  </si>
  <si>
    <t>119-кз</t>
  </si>
  <si>
    <t>486-з</t>
  </si>
  <si>
    <t xml:space="preserve"> 56-З </t>
  </si>
  <si>
    <t>87-З</t>
  </si>
  <si>
    <t>86-ЗРТ</t>
  </si>
  <si>
    <t>140-РЗ</t>
  </si>
  <si>
    <t>15-ПК</t>
  </si>
  <si>
    <t xml:space="preserve"> 25-ЗО</t>
  </si>
  <si>
    <t>151-З</t>
  </si>
  <si>
    <t>154/56-VII-ОЗ</t>
  </si>
  <si>
    <t>3775-ЗПО </t>
  </si>
  <si>
    <t>95-ГД</t>
  </si>
  <si>
    <t>140-ЗСО</t>
  </si>
  <si>
    <t>146-ЗО</t>
  </si>
  <si>
    <t>111-ОЗ</t>
  </si>
  <si>
    <t>493-ЗО</t>
  </si>
  <si>
    <t>85-оз</t>
  </si>
  <si>
    <t>111-ЗАО</t>
  </si>
  <si>
    <t>87-РЗ</t>
  </si>
  <si>
    <t>787-ЗРТ</t>
  </si>
  <si>
    <t>116-ЗРХ</t>
  </si>
  <si>
    <t>105-ЗС</t>
  </si>
  <si>
    <t>2-255</t>
  </si>
  <si>
    <t>130-ОЗ</t>
  </si>
  <si>
    <t>133-ОЗ</t>
  </si>
  <si>
    <t>167-ОЗ</t>
  </si>
  <si>
    <t>2450-ОЗ</t>
  </si>
  <si>
    <t>136-ОЗ</t>
  </si>
  <si>
    <t>1932-VI</t>
  </si>
  <si>
    <t>7-10</t>
  </si>
  <si>
    <t>2416-З N 743-VI</t>
  </si>
  <si>
    <t>2007-ЗЗК</t>
  </si>
  <si>
    <t>3, 3(1)</t>
  </si>
  <si>
    <t>31-КЗ</t>
  </si>
  <si>
    <t>2655-ОЗ</t>
  </si>
  <si>
    <t>107-ЗО</t>
  </si>
  <si>
    <t>49-ОЗ</t>
  </si>
  <si>
    <t>67-ОЗ</t>
  </si>
  <si>
    <t>5, 5(1)</t>
  </si>
  <si>
    <t xml:space="preserve">В целях оценки показателя учитываются сведения об общем объеме межбюджетных трансфертов, предоставляемых другим бюджетам бюджетной системы РФ в 2022 году и плановом периоде 2023 и 2024 годов, содержащиеся в текстовой части закона о бюджете и (или) в приложении (приложениях) к закону о бюджете, которые непосредственно указывают общий объем межбюджетных трансфертов, в том числе дотаций, субсидий, субвенций, иных межбюджетных трансфертов, предоставляемых другим бюджетам бюджетной системы РФ в 2022 году и плановом периоде 2023 и 2024 годов. </t>
  </si>
  <si>
    <t>1.4 Содержатся ли в составе закона о бюджете сведения об общем объеме межбюджетных трансфертов, предоставляемых другим бюджетам бюджетной системы РФ в 2022 году и плановом периоде 2023 и 2024 годов, с детализацией по соответствующим бюджетам бюджетной системы РФ и формам межбюджетных трансфертов?</t>
  </si>
  <si>
    <t>1.5 Какая доля субсидий местным бюджетам на 2022 год распределена законом о бюджете по муниципальным образованиям (в % от общего объема субсидий, предусмотренных местным бюджетам законом о бюджете на 2022 год) и сведения о таком распределении представлены комплексно в соответствующем приложении (приложениях) к закону о бюджете?</t>
  </si>
  <si>
    <t>Какая доля субсидий местным бюджетам на 2022 год распределена законом о бюджете по муниципальным образованиям (в % от общего объема субсидий, предусмотренных местным бюджетам законом о бюджете на 2022 год) и сведения о таком распределении представлены комплексно в соответствующем приложении (приложениях) к закону о бюджете?</t>
  </si>
  <si>
    <t>Содержатся ли в составе закона о бюджете сведения об общем объеме межбюджетных трансфертов, предоставляемых другим бюджетам бюджетной системы РФ в 2022 году и плановом периоде 2023 и 2024 годов, с детализацией по соответствующим бюджетам бюджетной системы РФ и формам межбюджетных трансфертов?</t>
  </si>
  <si>
    <t>Если сведения о распределении субсидии по муниципальным образованиям не содержат информации об общем объеме субсидии, предусмотренной законом о бюджете, а также информации об объеме нераспределенной части субсидии (если часть соответствующей субсидии не распределена), применяется понижающий коэффициент, используемый в связи с затрудненным поиском бюджетных данных.</t>
  </si>
  <si>
    <t>Если сведения о наименовании межбюджетного трансферта, распределенного по муниципальным образованиям, не указывают однозначно на форму межбюджетного трансферта, такие межбюджетные трансферты не учитываются в целях оценки показателя.</t>
  </si>
  <si>
    <t xml:space="preserve">В целях оценки показателя для определения общего объема субсидий, предоставляемых местным бюджетам в 2022 году, используются сведения об общем объеме субсидий местным бюджетам на 2022 год, непосредственно содержащиеся в текстовой части закона о бюджете и (или) приложении к нему, или осуществляется расчет путем суммирования отдельных субсидий, представленных в перечне субсидий, предусмотренных местным бюджетам, или осуществляется расчет по ведомственной структуре расходов с использованием вида расходов 520 или 521, 522 и 523 (если такая детализация имеется). В случае осуществления расчета любым из указанных способов для определения общего объема субсидий применяется понижающий коэффициент, используемый в связи с затрудненным поиском бюджетных данных. В случае если определить общий объем субсидий местным бюджетам на 2022 год указанными способами не представляется возможным, оценка показателя принимает значение ноль баллов. </t>
  </si>
  <si>
    <t>В случае если законом о бюджете субъекта Российской Федерации (за исключением городов федерального значения) субсидии местным бюджетам на 2022 год не предусмотрены, для соответствующего субъекта Российской Федерации оценка показателя принимает значение ноль баллов. Для городов федерального значения оценка показателя не осуществляется, производится корректировка максимального количества баллов.</t>
  </si>
  <si>
    <t>Исходные данные и оценка показателя "1.4 Содержатся ли в составе закона о бюджете сведения об общем объеме межбюджетных трансфертов, предоставляемых другим бюджетам бюджетной системы РФ в 2022 году и плановом периоде 2023 и 2024 годов, с детализацией по соответствующим бюджетам бюджетной системы РФ и формам межбюджетных трансфертов?"</t>
  </si>
  <si>
    <t>Исходные данные и оценка показателя "1.5  Какая доля субсидий местным бюджетам на 2022 год распределена законом о бюджете по муниципальным образованиям (в % от общего объема субсидий, предусмотренных местным бюджетам законом о бюджете на 2022 год) и сведения о таком распределении представлены комплексно в соответствующем приложении (приложениях) к закону о бюджете?"</t>
  </si>
  <si>
    <t>Да, содержатся для всех бюджетов бюджетной системы, которым законом о бюджете предусмотрены межбюджетные трансферты</t>
  </si>
  <si>
    <t>Да, содержатся только в части местных бюджетов, при этом законом о бюджете предусмотрены также межбюджетные трансферты другим бюджетам бюджетной системы</t>
  </si>
  <si>
    <t>Нет, не содержатся или не отвечают требованиям</t>
  </si>
  <si>
    <t>В целях оценки показателя учитываются обособленно представленные сведения о межбюджетных трансфертах, предоставляемых местным бюджетам, а также федеральному бюджету, бюджетам других субъектов Российской Федерации, бюджетам государственных внебюджетных фондов (если такие межбюджетные трансферты предусмотрены законом о бюджете).</t>
  </si>
  <si>
    <t>Используемые формулировки должны однозначно указывать, что речь идет об общем объеме межбюджетных трансфертов, предоставляемых другим бюджетам бюджетной системы Российской Федерации. При использовании неоднозначных формулировок или при выявлении недостоверных данных оценка показателя принимает значение ноль баллов.</t>
  </si>
  <si>
    <t>Проведение расчетов в целях оценки показателя не осуществляется. Допускается представление сведений об объеме отдельных межбюджетных трансфертов одной формы для одного типа бюджетов (например, дотации местным бюджетам) если количество таких видов межбюджетных трансфертов не превышает трех. В иных случаях сведения об объеме отдельных межбюджетных трансфертов в целях оценки показателя не учитываются.</t>
  </si>
  <si>
    <t>Сведения об объемах бюджетных ассигнований на предоставление межбюджетных трансфертов в составе ведомственной, программной или функциональной структуры расходов в целях оценки показателя не учитываются.</t>
  </si>
  <si>
    <t>15, 17</t>
  </si>
  <si>
    <t>21, 33</t>
  </si>
  <si>
    <t>1, 19-23</t>
  </si>
  <si>
    <t>1, 12</t>
  </si>
  <si>
    <t>4, 10-14</t>
  </si>
  <si>
    <t>12</t>
  </si>
  <si>
    <t>15-16, 18-19</t>
  </si>
  <si>
    <t>7, 9</t>
  </si>
  <si>
    <t>6</t>
  </si>
  <si>
    <t>11</t>
  </si>
  <si>
    <t>13, 16</t>
  </si>
  <si>
    <t>13</t>
  </si>
  <si>
    <t>15-16</t>
  </si>
  <si>
    <t>8, 10</t>
  </si>
  <si>
    <t>17-20</t>
  </si>
  <si>
    <t>9-11</t>
  </si>
  <si>
    <t>10-14</t>
  </si>
  <si>
    <t>17-24</t>
  </si>
  <si>
    <t>11-15</t>
  </si>
  <si>
    <t>8, 10-13</t>
  </si>
  <si>
    <t>4, 7</t>
  </si>
  <si>
    <t xml:space="preserve">В целях оценки показателя учитываются субсидии, распределение которых по муниципальным образованиям утверждено законом о бюджете отдельными приложениями (приложением). Сводные данные о распределении субсидий по муниципальным образованиям без детализации по их конкретным видам (в том числе консолидированные субсидии) в целях оценки показателя не учитываются. Сведения о распределении субсидий по отдельным муниципальным образованиям, содержащиеся в текстовой части закона, ведомственной, программной или функциональной структуре расходов, а также в приложении о распределении ассигнований на бюджетные инвестиции, в целях оценки показателя не учитываются. </t>
  </si>
  <si>
    <t>75 – 100 %</t>
  </si>
  <si>
    <t>50 – 74,9 %</t>
  </si>
  <si>
    <t>15</t>
  </si>
  <si>
    <t>17-18, 21-22</t>
  </si>
  <si>
    <t>5, 9</t>
  </si>
  <si>
    <t>4, 6</t>
  </si>
  <si>
    <t>23-25</t>
  </si>
  <si>
    <t>г. Санкт-Петербург *</t>
  </si>
  <si>
    <t>г. Севастополь *</t>
  </si>
  <si>
    <t>г. Москва *</t>
  </si>
  <si>
    <t xml:space="preserve">г. Москва </t>
  </si>
  <si>
    <t>г. Севастополь</t>
  </si>
  <si>
    <t>Сведения представлены в полном объеме или в части местных бюджетов</t>
  </si>
  <si>
    <t>Общий объем межбюджетных трансфертов местным бюджетам</t>
  </si>
  <si>
    <t>дотации</t>
  </si>
  <si>
    <t>субсидии</t>
  </si>
  <si>
    <t>субвенции</t>
  </si>
  <si>
    <t>иные МБТ</t>
  </si>
  <si>
    <t>Объем межбюджетных трансфертов федеральному бюджету</t>
  </si>
  <si>
    <t>Объем межбюджетных трансфертов бюджетам других бюджетов субъектов РФ</t>
  </si>
  <si>
    <t>в том числе:</t>
  </si>
  <si>
    <t>Недостоверные данные</t>
  </si>
  <si>
    <t>Объем расходов по ВР 500 (расчет по ведомственной структуре расходов)</t>
  </si>
  <si>
    <t>Общий объем межбюджетных трансфертов, предоставляемых другим бюджетам бюджетной системы РФ (сумма граф I, N, O, P, Q)</t>
  </si>
  <si>
    <t>Разница между графами S и R</t>
  </si>
  <si>
    <t>Объем межбюджетных трансфертов бюджетам государственных внебюджетных фондов</t>
  </si>
  <si>
    <t>Объем межбюджетных трансфертов бюджету территориального фонда обязательного медицинского страхования</t>
  </si>
  <si>
    <t>Да, в части местных бюджетов</t>
  </si>
  <si>
    <t>Соблюдается последовательность представления данных по формам межбюджетных трансфертов</t>
  </si>
  <si>
    <t>Нет данных</t>
  </si>
  <si>
    <t>Расчет по ВР 520</t>
  </si>
  <si>
    <t>Указано в законе</t>
  </si>
  <si>
    <t>Примечания.</t>
  </si>
  <si>
    <t>Проверочный расчет достоверности данных</t>
  </si>
  <si>
    <t xml:space="preserve">Источник данных: Закон субъекта РФ о бюджете на 2022 год и на плановый период 2023 и 2024 годов </t>
  </si>
  <si>
    <t>Да, в полном объеме</t>
  </si>
  <si>
    <t>16, 17</t>
  </si>
  <si>
    <t>Закон размещен в полном объеме в установленные сроки надлежащей практики</t>
  </si>
  <si>
    <t>В сроки надлежащей практики (по состоянию на 07.02.2022) не размещен.</t>
  </si>
  <si>
    <t>Размещен после срока надлежащей практики, дата размещения указана на портале. Отсутствует структура документа (К2).</t>
  </si>
  <si>
    <t>не размещено: http://depfin.orel-region.ru:8096/ebudget/Menu/Page/36</t>
  </si>
  <si>
    <t>http://old.minfin.astrobl.ru/site-page/zakony-o-byudzhete-ao; https://minfin.astrobl.ru/napravleniya-deyatelnosti/zakony-o-biudzete-astraxanskoi-oblasti</t>
  </si>
  <si>
    <t>Размещен после срока надлежащей практики, дата размещения указана на портале.</t>
  </si>
  <si>
    <t>нет (нарушен срок надлежащей практики)</t>
  </si>
  <si>
    <t>нет (по состоянию на 07.02.2022)</t>
  </si>
  <si>
    <t>В срок надлежащей практики (по состоянию на 07.02.2022) не размещен.</t>
  </si>
  <si>
    <t>Учтен закон, размещенный на специализированном портале, на сайте финансового органа используется только графический формат.</t>
  </si>
  <si>
    <t>https://fin.sev.gov.ru/pravovye-aktu/regionalnye-npa/regionalnye-npa-2021/</t>
  </si>
  <si>
    <t>https://budget.cap.ru/Show/Category/308?ItemId=988</t>
  </si>
  <si>
    <t>Учтен закон, размещенный на специализированном портале, на сайте финансового органа наименования приложений не отражают содержание, используются только номера.</t>
  </si>
  <si>
    <t>http://budget.sakha.gov.ru/ebudget/Menu/Page/260</t>
  </si>
  <si>
    <t xml:space="preserve">Используется только графический формат (по состоянию на 07.02.2022, К2). </t>
  </si>
  <si>
    <t>Наименование ссылки на документ некорректное (в реквизитах закона вместо 28.12.2021 указано 28.12.2020, К1).</t>
  </si>
  <si>
    <t>Документ размещен на старой версии портала (http://old.minfin.astrobl.ru/site-page/zakony-o-byudzhete-ao), не структурирован (К2). На новой версии портала по состоянию на 07.02.2022 закон не размещен (https://minfin.astrobl.ru/napravleniya-deyatelnosti/zakony-o-biudzete-astraxanskoi-oblasti).</t>
  </si>
  <si>
    <t>нет (размещен частично)</t>
  </si>
  <si>
    <t>нет (отстутствуют приложения 12-22)</t>
  </si>
  <si>
    <t>http://portal.minfinrd.ru/Menu/Page/1128</t>
  </si>
  <si>
    <t>https://mfri.ru/index.php/open-budget/pervonachalno-utverzhdennyj-byudzhet</t>
  </si>
  <si>
    <t>Используется только графический формат (К2).</t>
  </si>
  <si>
    <t>Затрудненный поиск, размещен в разделе "Проект закона о бюджете - 2022" при наличии раздела "Закон о бюджете КЧР" (К1). Используется только графический формат (К2).</t>
  </si>
  <si>
    <t>Наименование ссылки на документ некорректное (по состоянию на 07.02.2022 указан закон на 2021 год и на плановый период 2022 и 2023 годов, К1). Неструктурирован, используется только графический формат (К2).</t>
  </si>
  <si>
    <t>Отсутствуют наименования, отражающие содержание приложений (К2).</t>
  </si>
  <si>
    <t>https://budget.permkrai.ru/budget/indicators2022</t>
  </si>
  <si>
    <t>Отсутствует структура документа (К2).</t>
  </si>
  <si>
    <t>https://www.eao.ru/isp-vlast/departament-finansov-pravitelstva-evreyskoy-avtonomnoy-oblasti/byudzhet/</t>
  </si>
  <si>
    <t>https://budget.rk.ifinmon.ru/dokumenty/zakon-o-byudzhete</t>
  </si>
  <si>
    <t>https://mf.orb.ru/activity/11097/</t>
  </si>
  <si>
    <t>Дата подписания закона 24.12.2022, в реквизитах закона указана дата принятия закона законодательным органом (нестандартная практика).</t>
  </si>
  <si>
    <t>Для проверки использовалась графическая версия, размещенная на сайте финансового органа. В СПС "КонсультантПлюс" отсутствуют приложения к закону.</t>
  </si>
  <si>
    <t>Нет детализации безвозмездных поступлений.</t>
  </si>
  <si>
    <t>5-8</t>
  </si>
  <si>
    <t>Сведения отсутствуют.</t>
  </si>
  <si>
    <t>Детализации налоговых и неналоговых доходов недостаточно для оценки показателя.</t>
  </si>
  <si>
    <t>Статья 1</t>
  </si>
  <si>
    <t>Мониторинг и оценка показателя проведены в период со 2 по 15 февраля 2022 года.</t>
  </si>
  <si>
    <t>Сведения представлены частично, в том числе в части местных бюджетов.</t>
  </si>
  <si>
    <t>Объем межбюджетных трансфертов федеральной территории "Сириус"</t>
  </si>
  <si>
    <t>Сведения представлены частично, в том числе в части местных бюджетов. Отсутствует общий объем дотаций, общий объем иных МБТ, перечислены отдельные межбюджетные трансферты, количество которых более трех для каждой формы межбюджетных трансфертов.</t>
  </si>
  <si>
    <t xml:space="preserve">Сведения представлены частично, в том числе в части местных бюджетов, нет данных об общем объеме иных межбюджетных трансфертов местным бюджетам. </t>
  </si>
  <si>
    <t>Проверочный расчет достоверности данных (разница между графой I и суммой граф J, K, L, M)</t>
  </si>
  <si>
    <t>11, 11а, 12, 12а, 12.1, 12.1а, 12.2, 12.2а, 12.3, 12.3а</t>
  </si>
  <si>
    <t xml:space="preserve">Представлены недостоверные сведения, в том числе в части местных бюджетов. Объем межбюджетных трансфертов, предусмотренных другим бюджетам бюджетной системы РФ, указанный в статье 7 и приложении 11 превышает на 150 000 тыс. рублей объем межбюджетных трансфертов, рассчитанный по ведомственной структуре расходов. Объем дотаций в ведомственной структуре на 100 000 тыс. рублей меньше по сравнению с объемом средств, указанных в приложении 11. </t>
  </si>
  <si>
    <t>51, 56</t>
  </si>
  <si>
    <t>18</t>
  </si>
  <si>
    <t>7, 13, 14</t>
  </si>
  <si>
    <t>5, 6, 8</t>
  </si>
  <si>
    <t>17, 18</t>
  </si>
  <si>
    <t>Сведения представлены частично.</t>
  </si>
  <si>
    <t xml:space="preserve">Представлены недостоверные сведения в части местных бюджетов. Объем межбюджетных трансфертов, указанный в приложении 11, на 738 тыс. рублей превышает объем межбюджетных трансфертов, предусмотренных в ведомственной структуре расходов бюджета. </t>
  </si>
  <si>
    <t>Нет (недостоверные данные)</t>
  </si>
  <si>
    <t>Представлены в полном объеме сведения об объемах межбюджетных трансфертов местным бюджетам</t>
  </si>
  <si>
    <t>Представлены в полном объеме сведения об объемах межбюджетных трансфертов другим бюджетам бюджетной системы РФ</t>
  </si>
  <si>
    <t>Не предусмотрены</t>
  </si>
  <si>
    <t>Сведения в части дотаций местным бюджетам представлены частично, не указана дотация ЗАТО (45 259 тыс. рублей).</t>
  </si>
  <si>
    <t>Сведения не представлены.</t>
  </si>
  <si>
    <t>Сведения представлены частично, в том числе в части местных бюджетов. Отсутствует общий объем дотаций местным бюджетам.</t>
  </si>
  <si>
    <t>13, 14</t>
  </si>
  <si>
    <t xml:space="preserve">Не отвечают требованиям, в приложении 10 представлены общие объемы межбюджетных трансфертов другим бюджетам, но не указано, каким именно. </t>
  </si>
  <si>
    <t xml:space="preserve">Не отвечают требованиям, в статье 10 представлены общие объемы межбюджетных трансфертов другим бюджетам, но не указано, каким именно. </t>
  </si>
  <si>
    <t>Разница 0,1 тыс. рублей расценена как результат округлений.</t>
  </si>
  <si>
    <t xml:space="preserve">Сведения представлены частично. Для иных межбюджетных трансфертов не указано, каким именно бюджетам они предназначены (в приложении 8). Общий объем межбюджетных трансфертов, указанный в приложении 8, на 7 000 тыс. рублей меньше объема расходов, рассчитанного по коду ВР 500 по ведомственной структуре расходов. </t>
  </si>
  <si>
    <t>Сведения не представлены. В статье 9 и приложении 15 представлены межбюджетные трансферты, распределенные по местным бюджетам.</t>
  </si>
  <si>
    <t>Представлены недостоверные сведения. В статье 13 средства ФФОМС в объеме 4 670 211,9 тыс. рублей указаны как межбюджетный трансферт, в ведомственной структуре расходов соответствующие ассигнования представлены по коду ВР 300. Сведения о межбюджетных трансфертах представлены частично, в том числе в части местных бюджетов (нет общего объема субсидий городским и сельским поселениям, отдельно указано 5 таких субсидий, их сумма составляет 55 548,8 тыс. рублей), не указан межбюджетный трансферт Пенсионному фонду (26 000 тыс. рублей).</t>
  </si>
  <si>
    <t>Недостоверные данные. Объем межбюджетных трансфертов, указанный в статье 19, на 2 тыс. рублей превышает объем межбюджетных трансфертов, предусмотренных в ведомственной структуре расходов бюджета по коду ВР 500.</t>
  </si>
  <si>
    <t>Межбюджетные трансферты предусмотрены только местным бюджетам. Разница 0,1 тыс. рублей расценена как результат округления.</t>
  </si>
  <si>
    <t>16-19</t>
  </si>
  <si>
    <t>Нет (недостоверные сведения)</t>
  </si>
  <si>
    <t>Сведения представлены в части местных бюджетов. По другим бюджетам бюджетной системы РФ сведения представлены частично: не указан межбюджетный трансферт Пенсионному фонду (18 000 тыс. рублей).</t>
  </si>
  <si>
    <t>Сведения представлены в части местных бюджетов. По другим бюджетам бюджетной системы РФ сведения не представлены: не указан межбюджетный трансферт Пенсионному фонду (30 000 тыс. рублей).</t>
  </si>
  <si>
    <t>Сведения представлены в части местных бюджетов. Представлены сведения по 4 отдельным дотациям, произведено их суммирование, рекомендуется указывать общий объем. По другим бюджетам бюджетной системы РФ сведения не представлены: не указаны межбюджетные трансферты федеральному бюджету (500 тыс. рублей), Пенсионному фонду (13 950 тыс. рублей).</t>
  </si>
  <si>
    <t>Сведения представлены в части местных бюджетов. По другим бюджетам бюджетной системы РФ сведения представлены частично: не указаны межбюджетные трансферты федеральному бюджету (11 237 тыс. рублей), бюджетам других субъектов РФ (3 283 121 тыс. рублей), Пенсионному фонду (100 000 тыс. рублей)</t>
  </si>
  <si>
    <t>Сведения представлены в части местных бюджетов. По другим бюджетам бюджетной системы сведения представлены частично: не указан межбюджетный трансферт федеральному бюджету (1856,29 тыс. рублей).</t>
  </si>
  <si>
    <t>Сведения представлены в части местных бюджетов. По другим бюджетам бюджетной системы РФ сведения не представлены, в частности, не указаны трансферты ТФОМС (283 115 тыс. рублей), федеральному бюджету (4 943,3 тыс. рублей), Пенсионному фонду (33 000 тыс. рублей), выяснить назначение еще 11 000 тыс. рублей не удалось.</t>
  </si>
  <si>
    <t>Сведения представлены в части местных бюджетов. По другим бюджетам бюджетной системы РФ сведения не представлены: не указаны межбюджетные трансферты  федеральному бюджету (4 389,5 тыс. рублей), Пенсионному фонду (41 000 тыс. рублей).</t>
  </si>
  <si>
    <t>Сведения представлены в части местных бюджетов. По другим бюджетам бюджетной системы РФ сведения представлены частично: не указан межбюджетный трансферт Пенсионному фонду (7 140 тыс. рублей).</t>
  </si>
  <si>
    <t>Сведения представлены в части местных бюджетов. Разница 0,1 тыс. рублей расценена как результат округления. По другим бюджетам бюджетной системы РФ сведения не представлены, вероятно, не указаны межбюджетные трансферты ТФОМС (555 158,8 тыс. рублей), федеральному бюджету (9 389,5 тыс. рублей), Пенсионному фонду (42 400 тыс. рублей).</t>
  </si>
  <si>
    <t>Сведения представлены в части местных бюджетов. По другим бюджетам бюджетной системы РФ сведения не представлены: не указаны межбюджетные трансферты федеральному бюджету (877 304,3 тыс. рублей), ТФОМС (18 838 183,8 тыс. рублей), бюджетам других субъектов РФ (44 371,6 тыс. рублей), Пенсионному фонду (37 212,3 тыс. рублей).</t>
  </si>
  <si>
    <t>15, 16</t>
  </si>
  <si>
    <t>Сведения представлены в части местных бюджетов. В части межбюджетных трансфертов другим бюджетам представлены недостоверные сведения: в части 1 статьи 8 средства ТФОМС указаны как межбюджетный трансферт, но в ведомственной структуре расходов эти средства не отражены как межбюджетный трансферт. Не указаны сведения о межбюджетных трансфертах субъектам РФ (2 922,6 тыс. рублей).</t>
  </si>
  <si>
    <t>Сведения представлены в части местных бюджетов. По другим бюджетам бюджетной системы РФ сведения не представлены: не указан межбюджетный трансфер Пенсионному фонду (7 596,2 тыс. рублей).</t>
  </si>
  <si>
    <t>Сведения представлены в части местных бюджетов. По другим бюджетам бюджетной системы РФ сведения не представлены: не указан трансферт Пенсионному фонду (10 560 тыс. рублей).</t>
  </si>
  <si>
    <t>Сведения представлены в части местных бюджетов. По другим бюджетам бюджетной системы сведения представлены частично: не указан межбюджетный трансферт Пенсионному фонду (12 113,7 тыс. рублей).</t>
  </si>
  <si>
    <t>Сведения представлены в части местных бюджетов. По другим бюджетам бюджетной системы сведения представлены частично: не указаны межбюджетные трансферты Пенсионному фонду (2 010, тыс. рублей).</t>
  </si>
  <si>
    <t>Сведения представлены в части местных бюджетов. По другим бюджетам бюджетной системы сведения представлены частично: вероятно, не указаны межбюджетные трансферты Пенсионному фонду (80 000 тыс. рублей) и федеральном у бюджету (11 033,5 тыс. рублей).</t>
  </si>
  <si>
    <t>Сведения представлены в части местных бюджетов. По другим бюджетам бюджетной системы сведения не представлены: не указан трансферт Пенсионному фонду (11 720,8 тыс. рублей).</t>
  </si>
  <si>
    <t xml:space="preserve">Сведения представлены в части местных бюджетов. По другим бюджетам бюджетной системы сведения представлены частично: не указан межбюджетный трансферт Пенсионному фонду (18 000 тыс. рублей). </t>
  </si>
  <si>
    <t xml:space="preserve">Сведения представлены в части местных бюджетов. По другим бюджетам бюджетной системы сведения представлены частично: не указан трансферт Пенсионному фонду (28 000 тыс. рублей). Разница 0,1 тыс. рублей расценена как результат округлений. </t>
  </si>
  <si>
    <t>Сведения представлены в части местных бюджетов. По другим бюджетам бюджетной системы сведения представлены частично: не указан трансферт Пенсионному фонду (15 027,3 тыс. рублей).</t>
  </si>
  <si>
    <t>Сведения представлены в части местных бюджетов. По другим бюджетам бюджетной системы сведения не представлены: не указан трансферт Пенсионному фонду (54 000 тыс. рублей). Разница 0,2 тыс. рублей расценена как результат округлений.</t>
  </si>
  <si>
    <t>Сведения представлены в части местных бюджетов. По другим бюджетам бюджетной системы сведения не представлены: не указан трансферт Пенсионному фонду (25 000 тыс. рублей).</t>
  </si>
  <si>
    <t>Сведения представлены в части местных бюджетов. По другим бюджетам бюджетной системы сведения представлены частично: не указан межбюджетный трансферт Пенсионному фонду (26 645,4 тыс. рублей).</t>
  </si>
  <si>
    <t>Сведения представлены в части местных бюджетов. По другим бюджетам бюджетной системы сведения не представлены: не указаны межбюджетные трансферты федеральному бюджету (2 456,6 тыс. рублей), Пенсионному фонду (5 000 тыс. рублей).</t>
  </si>
  <si>
    <t>Сведения представлены в части местных бюджетов. По другим бюджетам бюджетной системы сведения не представлены: не указан трансферт федеральному бюджету (5 473,6 тыс. рублей), Пенсионному фонду (50 400,6 тыс. рублей).</t>
  </si>
  <si>
    <t>Указано 4 отдельных дотации, общий объем отсутствует, произведено суммирование; рекомендуется указывать общий объем дотаций.</t>
  </si>
  <si>
    <t>Указано 4 отдельных дотации, общий объем отсутствует, произведено суммирование. Рекомендуется указывать общий объем дотаций.</t>
  </si>
  <si>
    <t>Отсутствуют сведения об общем объеме дотаций местным бюджетам, произведено суммирование, рекомендуется указывать общий объем.</t>
  </si>
  <si>
    <t>Не соблюдается последовательность представления данных по формам межбюджетных трансфертов в приложении 17 (К1).</t>
  </si>
  <si>
    <t>Не соблюдается последовательность представления данных по формам межбюджетных трансфертов в приложении 10 (К1).</t>
  </si>
  <si>
    <t>Не соблюдается последовательность представления данных по формам межбюджетных трансфертов в приложении 19 (К1).</t>
  </si>
  <si>
    <t>Не соблюдается последовательность представления данных по формам межбюджетных трансфертов в приложении 9 (К1).</t>
  </si>
  <si>
    <t>Не соблюдается последовательность представления сведений по формам межбюджетных трансфертов в приложении 9 (К1).</t>
  </si>
  <si>
    <t>Не соблюдается последовательность представления сведений по формам межбюджетных трансфертов в приложении 10 (К1).</t>
  </si>
  <si>
    <t>Не соблюдается последовательность представления сведений по формам межбюджетных трансфертов в приложении 13 (К1).</t>
  </si>
  <si>
    <t>Не соблюдается последовательность представления сведений по формам межбюджетных трансфертов в приложении 26 (К1).</t>
  </si>
  <si>
    <t>Распределено менее 50% субсидий.</t>
  </si>
  <si>
    <t>прил. 29</t>
  </si>
  <si>
    <t>прил. 16</t>
  </si>
  <si>
    <t>ст. 5</t>
  </si>
  <si>
    <t>ст. 7</t>
  </si>
  <si>
    <t>ст. 14</t>
  </si>
  <si>
    <t>прил. 15</t>
  </si>
  <si>
    <t>ст. 9</t>
  </si>
  <si>
    <t>ст. 11</t>
  </si>
  <si>
    <t>ст. 33</t>
  </si>
  <si>
    <t>прил. 8</t>
  </si>
  <si>
    <t>ст. 6</t>
  </si>
  <si>
    <t>ст. 20</t>
  </si>
  <si>
    <t>ст. 12</t>
  </si>
  <si>
    <t>прил. 13</t>
  </si>
  <si>
    <t>ст. 17</t>
  </si>
  <si>
    <t>прил. 11</t>
  </si>
  <si>
    <t>прил. 17 (табл. 54-86, 92-99)</t>
  </si>
  <si>
    <t>прил. 10 (табл. 2.1-2.54)</t>
  </si>
  <si>
    <t>прил. 20</t>
  </si>
  <si>
    <t>прил. 18 (табл. 3-61)</t>
  </si>
  <si>
    <t>прил. 12 (табл. 4-38)</t>
  </si>
  <si>
    <t>прил. 18 (табл. 2-61)</t>
  </si>
  <si>
    <t>прил. 16 (табл. 3-36)</t>
  </si>
  <si>
    <t>прил. 18 (табл. 22-56)</t>
  </si>
  <si>
    <t>прил. 19 (табл. 6-19)</t>
  </si>
  <si>
    <t>прил. 14</t>
  </si>
  <si>
    <t>прил. 11 (табл. 23-56)</t>
  </si>
  <si>
    <t>прил. 10 (табл. 21-35, 37-69, 71-78)</t>
  </si>
  <si>
    <t>прил. 14 (табл. 22-37)</t>
  </si>
  <si>
    <t>прил. 19 (табл. 4-37, 73-81)</t>
  </si>
  <si>
    <t>ст. 3</t>
  </si>
  <si>
    <t>прил. 12</t>
  </si>
  <si>
    <t>ст. 8</t>
  </si>
  <si>
    <t>ст. 15</t>
  </si>
  <si>
    <t>прил. 11 (табл. 11-52)</t>
  </si>
  <si>
    <t>прил. 9 (табл. 2-15, 41-42)</t>
  </si>
  <si>
    <t>прил. 17</t>
  </si>
  <si>
    <t>прил. 21</t>
  </si>
  <si>
    <t>прил. 14, 17</t>
  </si>
  <si>
    <t>прил. 10</t>
  </si>
  <si>
    <t>прил. 12.1</t>
  </si>
  <si>
    <t>ст. 51</t>
  </si>
  <si>
    <t>прил. 25</t>
  </si>
  <si>
    <t>прил. 11 (табл. 1-25)</t>
  </si>
  <si>
    <t>прил. 17-22</t>
  </si>
  <si>
    <t>прил. 17 (табл. 3-47)</t>
  </si>
  <si>
    <t>прил. 11 (табл. 4, 7)</t>
  </si>
  <si>
    <t>Представлены недостоверные сведения. В пункте 6 статьи 7 и приложении 18 речь идет об объемах межбюджетных трансфертов бюджетам бюджетной системы РФ, однако представлены сведения, вероятно, только в части местных бюджетов. Объем межбюджетных трансфертов, рассчитанный по ВР 500 по ведомственной структуре расходов, превышает на 47 280,5 тыс. рублей объем межбюджетных трансфертов, указанных в статье 7 и приложении 8.</t>
  </si>
  <si>
    <t>Расчет по данным статьи 7 закона</t>
  </si>
  <si>
    <t>Сведения представлены частично. В статье  51 указаны объемы субсидий (17 140 657,2 тыс. рублей), субвенций 917 560 241,3 тыс. рублей), иных межбюджетных трансфертов (1 363 496,7 тыс. рублей), но не указано, каким бюджетам бюджетной системы они предназначены. Объем дотаций на выравнивание уровня бюджетной обеспеченности представлен только в составе приложения об их распределении по муниципальным образованиям.</t>
  </si>
  <si>
    <t xml:space="preserve">В статье 14 представлены сведения об отдельных межбюджетных трансфертах местным бюджетам. В приложении 15 нет итоговой суммы. Представлены недостоверные сведения: в статье 15 средства ТФОМС указаны как трансферт, в ведомственной структуре расходов эти ассигнования не отражены как межбюджетный трансферт (по коду ВР 500). </t>
  </si>
  <si>
    <t>Расчет по данным приложения 15</t>
  </si>
  <si>
    <t>прил. 17 (табл. 15, 17, 19-23, 26-33, 35)</t>
  </si>
  <si>
    <t>прил. 13 (табл. 15-32)</t>
  </si>
  <si>
    <t>прил. 14 (табл. 9-18, 21)</t>
  </si>
  <si>
    <t>прил. 16 (табл. 2-8)</t>
  </si>
  <si>
    <t>прил. 23</t>
  </si>
  <si>
    <t>Представлены недостоверные данные, распределенных субсидий больше, чем предусмотренных к предоставлению. Не соблюдается последовательность представления данных по формам межбюджетных трансфертов в приложении 14 (К1).</t>
  </si>
  <si>
    <t>прил. 18</t>
  </si>
  <si>
    <t>ст. 19</t>
  </si>
  <si>
    <t>прил. 9</t>
  </si>
  <si>
    <t>прил. 22</t>
  </si>
  <si>
    <t>прил. 9 (табл. 22-28, 30-32, 34)</t>
  </si>
  <si>
    <t>прил. 11-18</t>
  </si>
  <si>
    <t>прил. 34</t>
  </si>
  <si>
    <t>прил. 12 (табл. 43-79)</t>
  </si>
  <si>
    <t>прил. 10.1 (табл. П1-П23, П25-П33, П35-П-45, П47-П64)</t>
  </si>
  <si>
    <t>прил. 9, прил. 10 (табл. 5-31, 53-54, 57-58, 70-74, 76)</t>
  </si>
  <si>
    <t>Распределено менее 50% субсидий. Для определения общего объема субсидий произведен расчет с использованием ВР 520 (К1).</t>
  </si>
  <si>
    <t>прил. 5</t>
  </si>
  <si>
    <t>ст. 2</t>
  </si>
  <si>
    <t>прил. 13 (табл. 3-103, 163-164, 166-168, 170-171)</t>
  </si>
  <si>
    <t>прил. 28</t>
  </si>
  <si>
    <t>прил. 19, 22</t>
  </si>
  <si>
    <t>прил. 17 (табл. 3-18)</t>
  </si>
  <si>
    <t>прил. 15 (отдельные табл.)</t>
  </si>
  <si>
    <t>прил. 16 (табл. 20-44)</t>
  </si>
  <si>
    <t>прил. 43-66</t>
  </si>
  <si>
    <t>прил. 16 (табл. 4-73)</t>
  </si>
  <si>
    <t>прил. 40 (табл. 2.1-2.69)</t>
  </si>
  <si>
    <t>прил. 26 (табл. 2-16, 42-46)</t>
  </si>
  <si>
    <t>прил. 14, 15</t>
  </si>
  <si>
    <t>прил. 12-30</t>
  </si>
  <si>
    <t>прил. 37-99</t>
  </si>
  <si>
    <t>прил. 15 (табл. 19-37)</t>
  </si>
  <si>
    <t>прил. 18 (отдельные табл.)</t>
  </si>
  <si>
    <t>Для определения общего объема субсидий произведен расчет по ведомственной структуре расходов с использованием ВР 520 (К1).</t>
  </si>
  <si>
    <t>Сведения о распределении субсидий по муниципальным образованиям в законе отсутствуют.</t>
  </si>
  <si>
    <t>Не соблюдается последовательность представления данных по формам межбюджетных трансфертов в приложении 17 (К1). Вероятно, в общем объеме субсидии, указанной в приложении 16, не учтена субсидия в объеме 8 638,1 тыс. рублей на "Создание дополнительных мест для детей в возрасте от 1,5 до 3 лет любой направленности в организациях, осуществляющих образовательную деятельность ...".</t>
  </si>
  <si>
    <t>Расчет по данным приложения 13</t>
  </si>
  <si>
    <t xml:space="preserve">Сведения о распределении субсидий по муниципальным образованиям в законе отсутствуют. Для определения общего объема субсидий произведен расчет по данным приложения 15 (К1). </t>
  </si>
  <si>
    <t xml:space="preserve">Для определения общего объема субсидий произведен расчет по данным приложения 13 (К1). </t>
  </si>
  <si>
    <t>Для определения общего объема субсидий произведен расчет по данным статьи 7 закона (К1).</t>
  </si>
  <si>
    <t>Учтены субсидии на осуществление капитальных вложений, сведения о которых представлены в приложении 14. Общий объем межбюджетных субсидий на осуществление капитальных вложений не указан, произведен расчет по отдельным объектам (К1).</t>
  </si>
  <si>
    <t>Корректный расчет показателя затруднен. Сведения об общем объеме субсидий местным бюджетам на 2022 год в законе отсутствуют, в статье 51 приведены данные без указания, кому именно предназначены субсидии. В ведомственной структуре используется вид расходов 500 без детализации.</t>
  </si>
  <si>
    <t xml:space="preserve">Расчет показателя затруднен. Сведения об общем объеме субсидий местным бюджетам на 2022 год в законе отсутствуют. В ведомственной структуре расходов используется вид расходов 500 без детализации. </t>
  </si>
  <si>
    <t>Наличие в текстовой части закона о бюджете или в приложениях к нему сведений об общем объеме межбюджетных трансфертов, предоставляемых местным бюджетам на 2022 год(в тыс. рублей)</t>
  </si>
  <si>
    <t>Наличие в текстовой части закона о бюджете или в приложениях к нему сведений об общем объеме межбюджетных трансфертов, предоставляемых другим бюджетам бюджетной системы РФ на 2022 год (в тыс. рублей)</t>
  </si>
  <si>
    <t>Мониторинг и оценка показателя проведены в период со 2 по 9 февраля 2022 года.</t>
  </si>
  <si>
    <t>Мониторинг и оценка показателей раздела 1 проведены в период с 6 апреля по 31 мая 2022 года.</t>
  </si>
  <si>
    <t>На сайте финансового органа наименование ссылки на текст закона некорректное, используется: "Текст проекта закона…". На специализированном портале отсутствуют наименования приложений, отражающие содержание.</t>
  </si>
  <si>
    <t>Закон размещен частично (11 приложений из 22), не учитывается в целях оценки показателя. Полная версия закона размещена на сайте финансового органа после установленного срока надлежащей практики (после 07.02.2022).</t>
  </si>
  <si>
    <t>Мониторинг и оценка показателей раздела 1 проведены в период со 2 февраля по 31 мая 2022 года.</t>
  </si>
  <si>
    <t>Мониторинг и оценка показателя проведены в период с 9 марта по 31 мая 2022 года. Оценка показателя выполнена на основе данных на 2022 год.</t>
  </si>
  <si>
    <t xml:space="preserve">Учтен закон, размещенный на специализированном портале, нарушена хронологическая последовательность размещения документов. На сайте финансового органа закон размещен после срока надлежащей практики (не учитывается в целях оценки показателя). </t>
  </si>
  <si>
    <t xml:space="preserve">Сведения представлены частично, в том числе в части местных бюджетов. В статье 11 представлено "распределение межбюджетных трансфертов, предоставляемых местным бюджетам" (что неравнозначно предоставляемым). Объем межбюджетных трансфертов местным бюджетам, рассчитанный по ВР 500, на 8638,1 тыс. рублей превышает соответствующий объем, указанный в статье 11 (используются неоднозначные формулировки и, вероятно, недостоверные данные). </t>
  </si>
  <si>
    <t>Сведения представлены в части местных бюджетов. По другим бюджетам бюджетной системы РФ сведения не представлены: не указаны межбюджетные трансферты Пенсионному фонду (9 000 тыс. рублей), ТФОМС (88 446 тыс. рублей).</t>
  </si>
  <si>
    <t>Сведения представлены в части местных бюджетов. По другим бюджетам бюджетной системы РФ сведения не представлены: не указаны межбюджетные трансферты Пенсионному фонду (11 000 тыс. рублей), федеральному бюджету (2 446,5 тыс. рублей).</t>
  </si>
  <si>
    <t>Сведения представлены в части местных бюджетов. По другим бюджетам бюджетной системы представлены недостоверные сведения: в ведомственной структуре расходов объем средств, передаваемых ТФОМС, указан по коду ВР 320, в статье 14 - как межбюджетный трансферт. Сведения об объемах межбюджетных трансфертов другим бюджетам бюджетной системы представлены частично: не указаны межбюджетные трансферты федеральному бюджету (1 185,8 тыс. рублей), Пенсионному фонду (20 000 тыс. рублей).</t>
  </si>
  <si>
    <t xml:space="preserve">Сведения представлены в части местных бюджетов. По другим бюджетам бюджетной системы сведения не являются достоверными: в статье 13 указаны бюджетные ассигнования Пенсионному фонду и ФОМС, в ведомственной структуре расходов с кодом ВР 500 отражены бюджетные ассигнования Пенсионному фонду (9080,3 тыс. рублей), бюджетные ассигнования ФОМС в объеме 3 048 359,0 тыс. рублей с кодом ВР 500 в ведомственной структуре расходов отсутствует. Также в статье 13 не указан межбюджетный трансферт в объеме 25 000 тыс7 рублей, вероятно, предназначенный ТФОМС.  </t>
  </si>
  <si>
    <t>Сведения представлены в части местных бюджетов. По другим бюджетам бюджетной системы сведения не являются достоверными: в статье 10 средства, предназначенные ФФОМС, указаны как межбюджетный трансферт, в ведомственной структуре расходов по коду ВР 500 они не отражены.</t>
  </si>
  <si>
    <t>Сведения представлены в части местных бюджетов. По другим бюджетам бюджетной системы сведения не представлены: вероятно, не указан межбюджетный трансферт. Пенсионному фонду (4 000 тыс. рублей), назначение еще 3 283,1 тыс. рублей установить не удалось.</t>
  </si>
  <si>
    <t>Сведения представлены в части местных бюджетов. Не указан трансферт Пенсионному фонду (5000 тыс. рублей).</t>
  </si>
  <si>
    <t>Представлены недостоверные сведения. В статье 2 указан общий объем субвенций местным бюджетам 21 039 735, тыс. рублей, при расчете по ведомственной структуре расходов объем ассигнований с кодом ВР 530 "Субвенции" составляет 3 410 730,6 тыс. рублей. Одновременно в статье 2 указан общий объем иных межбюджетных трансфертов местным бюджетам 567 932, 5 тыс. рублей, при расчете по ведомственной структуре расходов объем ассигнований с кодом ВР 540 "Иные межбюджетные трансферты" составляет 18 246 984,0 тыс. рублей. В статье 2 межбюджетные трансферты другим бюджетам бюджетной системы представлены частично: не указаны трансферты федеральному бюджету (67 153 тыс. рублей), бюджету Пенсионного фонда (167,3 тыс. рублей).</t>
  </si>
  <si>
    <t>Оценка не осуществляется, производится корректировка максимального количества баллов</t>
  </si>
  <si>
    <t>В расчете не учтены межбюджетные трансферты, для которых в приложении 13 не указана их форма. В приложении 13 в таблице 7 не соблюдается последовательность представления данных по формам межбюджетных трансфертов.</t>
  </si>
  <si>
    <t>10</t>
  </si>
  <si>
    <t>Сведения представлены в части местных бюджетов.</t>
  </si>
  <si>
    <t>Наименование субъекта Российской Федерации</t>
  </si>
  <si>
    <t>Затрудненный поиск, в 2022 году закон размещен в разделе "Деятельность / Открытый бюджет", ранее размещались в разделе "Деятельность / Респаубликанский бюджет" (К1). Используется только графический формат (К2).</t>
  </si>
  <si>
    <t>https://www.minfinchr.ru/deyatelnost/otkrytyj-byudzhet/pervonachalno-utverzhdennyj-byudzhet</t>
  </si>
  <si>
    <t xml:space="preserve">Результаты оценки уровня открытости бюджетных данных субъектов Российской Федерации по разделу 1 "Первоначально утвержденный бюджет" за 2022 год </t>
  </si>
  <si>
    <t>Наименование субъекта                                    Российской Федерации</t>
  </si>
  <si>
    <t xml:space="preserve">г. Санкт-Петербург </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</si>
  <si>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</si>
  <si>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</si>
  <si>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</si>
  <si>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</si>
  <si>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</si>
  <si>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</si>
  <si>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t>Наименование субъекта     Российской Федерации</t>
  </si>
  <si>
    <t>АНКЕТА ДЛЯ СОСТАВЛЕНИЯ РЕЙТИНГА СУБЪЕКТОВ РОССИЙСКОЙ ФЕДЕРАЦИИ ПО УРОВНЮ ОТКРЫТОСТИ БЮДЖЕТНЫХ ДАННЫХ ЗА 2022 ГОД</t>
  </si>
  <si>
    <t>Итого баллов по разделу 1</t>
  </si>
  <si>
    <t>Примечание: * В соответствии с Методикой составления рейтинга оценка показателя 1.5 для городов федерального значения не осуществляется по причине отсутствия явления. Произведена корректировка максимального количества баллов по соответствующим субъектам Российской Федерации.</t>
  </si>
  <si>
    <t>* В соответствии с Методикой составления рейтинга оценка показателя 1.5 для городов федерального значения не осуществляется по причине отсутствия явления. Произведена корректировка максимального количества баллов по соответствующим субъектам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</si>
</sst>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48">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sz val="11"/>
      <color theme="1"/>
      <name val="Calibri"/>
      <family val="2"/>
      <charset val="204"/>
      <scheme val="minor"/>
    </font>
    <font>
      <u/>
      <sz val="11"/>
      <color theme="10"/>
      <name val="Calibri"/>
      <family val="2"/>
      <charset val="204"/>
      <scheme val="minor"/>
    </font>
    <font>
      <u/>
      <sz val="11"/>
      <color theme="10"/>
      <name val="Calibri"/>
      <family val="2"/>
      <scheme val="minor"/>
    </font>
    <font>
      <sz val="11"/>
      <color theme="1"/>
      <name val="Calibri"/>
      <family val="2"/>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sz val="9"/>
      <color theme="1"/>
      <name val="Times New Roman"/>
      <family val="1"/>
      <charset val="204"/>
    </font>
    <font>
      <i/>
      <sz val="9"/>
      <color theme="1"/>
      <name val="Times New Roman"/>
      <family val="1"/>
      <charset val="204"/>
    </font>
    <font>
      <sz val="8"/>
      <name val="Calibri"/>
      <family val="2"/>
      <charset val="204"/>
      <scheme val="minor"/>
    </font>
    <font>
      <b/>
      <sz val="9"/>
      <color theme="1"/>
      <name val="Times New Roman"/>
      <family val="1"/>
      <charset val="204"/>
    </font>
    <font>
      <sz val="11"/>
      <name val="Calibri"/>
      <family val="2"/>
      <charset val="204"/>
      <scheme val="minor"/>
    </font>
    <font>
      <sz val="9"/>
      <color rgb="FFFF0000"/>
      <name val="Times New Roman"/>
      <family val="1"/>
      <charset val="204"/>
    </font>
    <font>
      <b/>
      <sz val="10"/>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sz val="9"/>
      <color rgb="FFFF0000"/>
      <name val="Times New Roman"/>
      <family val="1"/>
    </font>
    <font>
      <b/>
      <sz val="11"/>
      <color theme="1"/>
      <name val="Times New Roman"/>
      <family val="1"/>
    </font>
    <font>
      <sz val="11"/>
      <color theme="1"/>
      <name val="Times New Roman"/>
      <family val="1"/>
    </font>
    <font>
      <sz val="9"/>
      <color theme="1"/>
      <name val="Times New Roman"/>
      <family val="1"/>
    </font>
    <font>
      <sz val="9"/>
      <color theme="1"/>
      <name val="Times"/>
      <family val="1"/>
    </font>
    <font>
      <sz val="11"/>
      <color theme="0"/>
      <name val="Calibri"/>
      <family val="2"/>
      <charset val="204"/>
      <scheme val="minor"/>
    </font>
    <font>
      <sz val="9"/>
      <color theme="1"/>
      <name val="Calibri"/>
      <family val="2"/>
      <charset val="204"/>
      <scheme val="minor"/>
    </font>
    <font>
      <sz val="9"/>
      <color rgb="FFC00000"/>
      <name val="Calibri"/>
      <family val="2"/>
      <charset val="204"/>
      <scheme val="minor"/>
    </font>
    <font>
      <sz val="9"/>
      <color rgb="FFFF0000"/>
      <name val="Calibri"/>
      <family val="2"/>
      <charset val="204"/>
      <scheme val="minor"/>
    </font>
    <font>
      <sz val="9"/>
      <name val="Calibri"/>
      <family val="2"/>
      <charset val="204"/>
      <scheme val="minor"/>
    </font>
    <font>
      <sz val="9"/>
      <color theme="0"/>
      <name val="Times New Roman"/>
      <family val="1"/>
    </font>
    <font>
      <sz val="14"/>
      <color theme="1"/>
      <name val="Times"/>
      <family val="1"/>
    </font>
    <font>
      <sz val="9"/>
      <color theme="1"/>
      <name val="Times"/>
      <family val="1"/>
      <charset val="204"/>
    </font>
    <font>
      <b/>
      <sz val="9"/>
      <name val="Times New Roman"/>
      <family val="1"/>
    </font>
    <font>
      <b/>
      <sz val="9"/>
      <color theme="1"/>
      <name val="Times New Roman"/>
      <family val="1"/>
    </font>
    <font>
      <sz val="10"/>
      <color theme="0"/>
      <name val="Times New Roman"/>
      <family val="1"/>
      <charset val="204"/>
    </font>
    <font>
      <sz val="8"/>
      <color theme="0"/>
      <name val="Times New Roman"/>
      <family val="1"/>
      <charset val="204"/>
    </font>
    <font>
      <u/>
      <sz val="9"/>
      <color theme="0"/>
      <name val="Times New Roman"/>
      <family val="1"/>
    </font>
    <font>
      <sz val="9"/>
      <color theme="0"/>
      <name val="Times New Roman"/>
      <family val="1"/>
      <charset val="204"/>
    </font>
    <font>
      <i/>
      <sz val="9"/>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24994659260841701"/>
      </top>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0" fontId="9" fillId="0" borderId="0"/>
    <xf numFmtId="164" fontId="6" fillId="0" borderId="0" applyFont="0" applyFill="0" applyBorder="0" applyAlignment="0" applyProtection="0"/>
  </cellStyleXfs>
  <cellXfs count="277">
    <xf numFmtId="0" fontId="0" fillId="0" borderId="0" xfId="0"/>
    <xf numFmtId="0" fontId="11" fillId="0" borderId="0" xfId="0" applyFont="1"/>
    <xf numFmtId="0" fontId="12" fillId="0" borderId="0" xfId="0" applyFont="1"/>
    <xf numFmtId="0" fontId="13" fillId="0" borderId="0" xfId="0" applyFont="1"/>
    <xf numFmtId="4" fontId="13" fillId="0" borderId="0" xfId="0" applyNumberFormat="1" applyFont="1"/>
    <xf numFmtId="0" fontId="14" fillId="0" borderId="0" xfId="0" applyFont="1"/>
    <xf numFmtId="4" fontId="14" fillId="0" borderId="0" xfId="0" applyNumberFormat="1" applyFont="1"/>
    <xf numFmtId="0" fontId="15" fillId="0" borderId="0" xfId="0" applyFont="1"/>
    <xf numFmtId="49" fontId="0" fillId="0" borderId="0" xfId="0" applyNumberFormat="1"/>
    <xf numFmtId="0" fontId="16" fillId="0" borderId="0" xfId="0" applyFont="1" applyAlignment="1">
      <alignmen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center" vertical="center"/>
    </xf>
    <xf numFmtId="166" fontId="2" fillId="0" borderId="1" xfId="3" applyNumberFormat="1" applyFont="1" applyBorder="1" applyAlignment="1">
      <alignment horizontal="center" vertical="center"/>
    </xf>
    <xf numFmtId="0" fontId="12" fillId="0" borderId="0" xfId="0" applyFont="1" applyAlignment="1">
      <alignment horizontal="center"/>
    </xf>
    <xf numFmtId="0" fontId="2" fillId="0" borderId="1" xfId="0" applyFont="1" applyBorder="1" applyAlignment="1">
      <alignment vertical="center" wrapText="1"/>
    </xf>
    <xf numFmtId="166" fontId="5"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1" xfId="0" applyFont="1" applyBorder="1" applyAlignment="1">
      <alignment vertical="center"/>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6" fontId="18"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166" fontId="5" fillId="3" borderId="1" xfId="0" applyNumberFormat="1" applyFont="1" applyFill="1" applyBorder="1" applyAlignment="1">
      <alignment vertical="center" wrapText="1"/>
    </xf>
    <xf numFmtId="165"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6" fontId="2" fillId="3" borderId="1" xfId="3" applyNumberFormat="1" applyFont="1" applyFill="1" applyBorder="1" applyAlignment="1">
      <alignment horizontal="center" vertical="center"/>
    </xf>
    <xf numFmtId="49" fontId="12" fillId="0" borderId="0" xfId="0" applyNumberFormat="1" applyFont="1"/>
    <xf numFmtId="4" fontId="0" fillId="0" borderId="0" xfId="0" applyNumberFormat="1"/>
    <xf numFmtId="0" fontId="2" fillId="0" borderId="0" xfId="0" applyFont="1" applyAlignment="1">
      <alignment vertical="center"/>
    </xf>
    <xf numFmtId="0" fontId="10" fillId="0" borderId="0" xfId="0" applyFont="1"/>
    <xf numFmtId="0" fontId="0" fillId="2" borderId="0" xfId="0" applyFill="1"/>
    <xf numFmtId="0" fontId="17" fillId="0" borderId="0" xfId="0" applyFont="1"/>
    <xf numFmtId="164" fontId="0" fillId="0" borderId="0" xfId="5" applyFont="1" applyFill="1" applyAlignment="1"/>
    <xf numFmtId="0" fontId="21" fillId="0" borderId="0" xfId="0" applyFont="1"/>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left" vertical="center"/>
    </xf>
    <xf numFmtId="0" fontId="23" fillId="0" borderId="0" xfId="0" applyFont="1" applyAlignment="1">
      <alignment horizontal="left" vertical="center"/>
    </xf>
    <xf numFmtId="0" fontId="2" fillId="0" borderId="2" xfId="0" applyFont="1" applyBorder="1" applyAlignment="1">
      <alignment horizontal="left" vertical="center"/>
    </xf>
    <xf numFmtId="0" fontId="21" fillId="0" borderId="2" xfId="0" applyFont="1" applyBorder="1" applyAlignment="1">
      <alignment vertical="center"/>
    </xf>
    <xf numFmtId="0" fontId="17" fillId="0" borderId="0" xfId="0" applyFont="1" applyAlignment="1">
      <alignment vertical="center"/>
    </xf>
    <xf numFmtId="14" fontId="13" fillId="0" borderId="0" xfId="0" applyNumberFormat="1" applyFont="1"/>
    <xf numFmtId="0" fontId="18" fillId="2" borderId="1" xfId="0" applyFont="1" applyFill="1" applyBorder="1" applyAlignment="1">
      <alignment horizontal="left" vertical="center" wrapText="1"/>
    </xf>
    <xf numFmtId="0" fontId="20" fillId="3" borderId="1" xfId="0" applyFont="1" applyFill="1" applyBorder="1" applyAlignment="1">
      <alignment horizontal="center" vertical="center"/>
    </xf>
    <xf numFmtId="3" fontId="20"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49" fontId="20" fillId="3" borderId="1" xfId="0" applyNumberFormat="1" applyFont="1" applyFill="1" applyBorder="1" applyAlignment="1">
      <alignment vertical="center"/>
    </xf>
    <xf numFmtId="0" fontId="17" fillId="0" borderId="1" xfId="0" applyFont="1" applyBorder="1" applyAlignment="1">
      <alignment vertical="center"/>
    </xf>
    <xf numFmtId="0" fontId="17" fillId="0" borderId="1" xfId="0" applyFont="1" applyBorder="1" applyAlignment="1">
      <alignment horizontal="center" vertical="center"/>
    </xf>
    <xf numFmtId="165" fontId="20" fillId="0" borderId="1" xfId="0" applyNumberFormat="1"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left" vertical="center"/>
    </xf>
    <xf numFmtId="165" fontId="17" fillId="0" borderId="1" xfId="0" applyNumberFormat="1" applyFont="1" applyBorder="1" applyAlignment="1">
      <alignment horizontal="right" vertical="center"/>
    </xf>
    <xf numFmtId="1" fontId="17" fillId="0" borderId="1" xfId="0" applyNumberFormat="1" applyFont="1" applyBorder="1" applyAlignment="1">
      <alignment horizontal="left" vertical="center"/>
    </xf>
    <xf numFmtId="165" fontId="17" fillId="0" borderId="1" xfId="0" applyNumberFormat="1" applyFont="1" applyBorder="1" applyAlignment="1">
      <alignment horizontal="left" vertical="center"/>
    </xf>
    <xf numFmtId="49" fontId="17" fillId="0" borderId="1" xfId="0" applyNumberFormat="1" applyFont="1" applyBorder="1" applyAlignment="1">
      <alignment horizontal="center" vertical="center"/>
    </xf>
    <xf numFmtId="3" fontId="20" fillId="3" borderId="1" xfId="0" applyNumberFormat="1" applyFont="1" applyFill="1" applyBorder="1" applyAlignment="1">
      <alignment horizontal="left" vertical="center"/>
    </xf>
    <xf numFmtId="14" fontId="20" fillId="3" borderId="1" xfId="0" applyNumberFormat="1" applyFont="1" applyFill="1" applyBorder="1" applyAlignment="1">
      <alignment horizontal="center" vertical="center"/>
    </xf>
    <xf numFmtId="165" fontId="20" fillId="3" borderId="1" xfId="0" applyNumberFormat="1" applyFont="1" applyFill="1" applyBorder="1" applyAlignment="1">
      <alignment horizontal="right" vertical="center"/>
    </xf>
    <xf numFmtId="165" fontId="17" fillId="3" borderId="1" xfId="0" applyNumberFormat="1" applyFont="1" applyFill="1" applyBorder="1" applyAlignment="1">
      <alignment horizontal="right" vertical="center"/>
    </xf>
    <xf numFmtId="49" fontId="17" fillId="0" borderId="1" xfId="0" applyNumberFormat="1" applyFont="1" applyBorder="1" applyAlignment="1">
      <alignment horizontal="left" vertical="center"/>
    </xf>
    <xf numFmtId="14" fontId="17" fillId="0" borderId="1" xfId="0" applyNumberFormat="1" applyFont="1" applyBorder="1" applyAlignment="1">
      <alignment horizontal="left" vertical="center"/>
    </xf>
    <xf numFmtId="14" fontId="17" fillId="3" borderId="1" xfId="0" applyNumberFormat="1" applyFont="1" applyFill="1" applyBorder="1" applyAlignment="1">
      <alignment horizontal="left" vertical="center"/>
    </xf>
    <xf numFmtId="0" fontId="13" fillId="0" borderId="0" xfId="0" applyFont="1" applyAlignment="1">
      <alignment horizontal="left" indent="1"/>
    </xf>
    <xf numFmtId="0" fontId="14" fillId="0" borderId="0" xfId="0" applyFont="1" applyAlignment="1">
      <alignment horizontal="center"/>
    </xf>
    <xf numFmtId="0" fontId="19" fillId="0" borderId="0" xfId="0" applyFont="1"/>
    <xf numFmtId="0" fontId="0" fillId="0" borderId="0" xfId="0" applyAlignment="1">
      <alignment horizontal="left"/>
    </xf>
    <xf numFmtId="4" fontId="14" fillId="0" borderId="0" xfId="0" applyNumberFormat="1" applyFont="1" applyAlignment="1">
      <alignment horizontal="center"/>
    </xf>
    <xf numFmtId="4" fontId="13" fillId="0" borderId="0" xfId="0" applyNumberFormat="1" applyFont="1" applyAlignment="1">
      <alignment horizontal="left" indent="1"/>
    </xf>
    <xf numFmtId="4" fontId="19" fillId="0" borderId="0" xfId="0" applyNumberFormat="1" applyFont="1"/>
    <xf numFmtId="0" fontId="12" fillId="0" borderId="0" xfId="0" applyFont="1" applyAlignment="1">
      <alignment horizontal="left"/>
    </xf>
    <xf numFmtId="165" fontId="17" fillId="0" borderId="1" xfId="5" applyNumberFormat="1" applyFont="1" applyFill="1" applyBorder="1" applyAlignment="1">
      <alignment horizontal="center" vertical="center"/>
    </xf>
    <xf numFmtId="9" fontId="18" fillId="2" borderId="1" xfId="0" applyNumberFormat="1" applyFont="1" applyFill="1" applyBorder="1" applyAlignment="1">
      <alignment horizontal="left" vertical="center" wrapText="1"/>
    </xf>
    <xf numFmtId="4" fontId="32" fillId="0" borderId="0" xfId="0" applyNumberFormat="1"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1" fillId="0" borderId="0" xfId="0" applyFont="1" applyAlignment="1">
      <alignment vertical="center"/>
    </xf>
    <xf numFmtId="0" fontId="31" fillId="0" borderId="0" xfId="0" applyFont="1"/>
    <xf numFmtId="0" fontId="13" fillId="0" borderId="0" xfId="0" applyFont="1" applyAlignment="1">
      <alignment horizontal="center" wrapText="1"/>
    </xf>
    <xf numFmtId="0" fontId="13" fillId="0" borderId="0" xfId="0" applyFont="1" applyAlignment="1">
      <alignment horizontal="center"/>
    </xf>
    <xf numFmtId="0" fontId="38" fillId="0" borderId="0" xfId="0" applyFont="1"/>
    <xf numFmtId="0" fontId="13" fillId="0" borderId="0" xfId="0" applyFont="1" applyAlignment="1">
      <alignment horizontal="left"/>
    </xf>
    <xf numFmtId="4" fontId="13" fillId="0" borderId="0" xfId="0" applyNumberFormat="1" applyFont="1" applyAlignment="1">
      <alignment horizontal="center"/>
    </xf>
    <xf numFmtId="0" fontId="13" fillId="0" borderId="0" xfId="0" applyFont="1" applyAlignment="1">
      <alignment wrapText="1"/>
    </xf>
    <xf numFmtId="4" fontId="13" fillId="0" borderId="0" xfId="0" applyNumberFormat="1" applyFont="1" applyAlignment="1">
      <alignment wrapText="1"/>
    </xf>
    <xf numFmtId="0" fontId="13" fillId="2" borderId="0" xfId="0" applyFont="1" applyFill="1" applyAlignment="1">
      <alignment horizontal="center"/>
    </xf>
    <xf numFmtId="14" fontId="20" fillId="3" borderId="1" xfId="0" applyNumberFormat="1" applyFont="1" applyFill="1" applyBorder="1" applyAlignment="1">
      <alignment horizontal="center" vertical="center" wrapText="1"/>
    </xf>
    <xf numFmtId="3" fontId="17" fillId="0" borderId="1" xfId="0" applyNumberFormat="1" applyFont="1" applyBorder="1" applyAlignment="1">
      <alignment horizontal="left" vertical="center"/>
    </xf>
    <xf numFmtId="4" fontId="13" fillId="0" borderId="0" xfId="0" applyNumberFormat="1" applyFont="1" applyAlignment="1">
      <alignment horizontal="left"/>
    </xf>
    <xf numFmtId="0" fontId="22" fillId="0" borderId="0" xfId="0" applyFont="1"/>
    <xf numFmtId="49" fontId="20"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20" fillId="3" borderId="1" xfId="0" applyFont="1" applyFill="1" applyBorder="1" applyAlignment="1">
      <alignment vertical="center"/>
    </xf>
    <xf numFmtId="0" fontId="20"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17" fillId="3" borderId="1" xfId="0" applyFont="1" applyFill="1" applyBorder="1" applyAlignment="1">
      <alignment vertical="center"/>
    </xf>
    <xf numFmtId="3" fontId="20" fillId="0" borderId="1" xfId="0" applyNumberFormat="1" applyFont="1" applyBorder="1" applyAlignment="1">
      <alignment horizontal="center" vertical="center"/>
    </xf>
    <xf numFmtId="0" fontId="17" fillId="0" borderId="1" xfId="1" applyNumberFormat="1" applyFont="1" applyFill="1" applyBorder="1" applyAlignment="1">
      <alignment horizontal="left" vertical="center"/>
    </xf>
    <xf numFmtId="3" fontId="17" fillId="3" borderId="1" xfId="0" applyNumberFormat="1" applyFont="1" applyFill="1" applyBorder="1" applyAlignment="1">
      <alignment horizontal="left" vertical="center"/>
    </xf>
    <xf numFmtId="0" fontId="17" fillId="3" borderId="1" xfId="0" applyFont="1" applyFill="1" applyBorder="1" applyAlignment="1">
      <alignment horizontal="left" vertical="center"/>
    </xf>
    <xf numFmtId="3" fontId="17" fillId="3" borderId="1" xfId="0" applyNumberFormat="1" applyFont="1" applyFill="1" applyBorder="1" applyAlignment="1">
      <alignment horizontal="center" vertical="center"/>
    </xf>
    <xf numFmtId="165" fontId="34" fillId="0" borderId="0" xfId="0" applyNumberFormat="1" applyFont="1"/>
    <xf numFmtId="4" fontId="28" fillId="0" borderId="0" xfId="0" applyNumberFormat="1" applyFont="1"/>
    <xf numFmtId="14" fontId="13" fillId="0" borderId="0" xfId="0" applyNumberFormat="1" applyFont="1" applyAlignment="1">
      <alignment horizontal="left"/>
    </xf>
    <xf numFmtId="165" fontId="13" fillId="0" borderId="0" xfId="0" applyNumberFormat="1" applyFont="1"/>
    <xf numFmtId="165" fontId="14" fillId="0" borderId="0" xfId="0" applyNumberFormat="1" applyFont="1"/>
    <xf numFmtId="165" fontId="0" fillId="0" borderId="0" xfId="0" applyNumberFormat="1"/>
    <xf numFmtId="165" fontId="31" fillId="0" borderId="0" xfId="0" applyNumberFormat="1" applyFont="1"/>
    <xf numFmtId="165" fontId="12" fillId="0" borderId="0" xfId="0" applyNumberFormat="1" applyFont="1"/>
    <xf numFmtId="0" fontId="39" fillId="0" borderId="0" xfId="0" applyFont="1"/>
    <xf numFmtId="11" fontId="39" fillId="0" borderId="0" xfId="0" applyNumberFormat="1" applyFont="1"/>
    <xf numFmtId="0" fontId="40" fillId="0" borderId="0" xfId="0" applyFont="1"/>
    <xf numFmtId="165" fontId="17" fillId="0" borderId="1" xfId="0" applyNumberFormat="1" applyFont="1" applyBorder="1" applyAlignment="1">
      <alignment horizontal="center" vertical="center"/>
    </xf>
    <xf numFmtId="14" fontId="13" fillId="0" borderId="0" xfId="0" applyNumberFormat="1" applyFont="1" applyAlignment="1">
      <alignment horizontal="center"/>
    </xf>
    <xf numFmtId="165" fontId="13" fillId="0" borderId="0" xfId="0" applyNumberFormat="1" applyFont="1" applyAlignment="1">
      <alignment horizontal="center"/>
    </xf>
    <xf numFmtId="165" fontId="13" fillId="0" borderId="0" xfId="0" applyNumberFormat="1" applyFont="1" applyAlignment="1">
      <alignment horizontal="left"/>
    </xf>
    <xf numFmtId="49" fontId="20" fillId="2"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xf>
    <xf numFmtId="0" fontId="20" fillId="3" borderId="3" xfId="0" applyFont="1" applyFill="1" applyBorder="1" applyAlignment="1">
      <alignment horizontal="center" vertical="center"/>
    </xf>
    <xf numFmtId="165" fontId="20" fillId="3" borderId="1" xfId="0" applyNumberFormat="1" applyFont="1" applyFill="1" applyBorder="1" applyAlignment="1">
      <alignment horizontal="center" vertical="center"/>
    </xf>
    <xf numFmtId="4" fontId="34" fillId="0" borderId="0" xfId="0" applyNumberFormat="1" applyFont="1"/>
    <xf numFmtId="165" fontId="17" fillId="3" borderId="1" xfId="0" applyNumberFormat="1" applyFont="1" applyFill="1" applyBorder="1" applyAlignment="1">
      <alignment horizontal="center" vertical="center"/>
    </xf>
    <xf numFmtId="14" fontId="17" fillId="3" borderId="1" xfId="0" applyNumberFormat="1" applyFont="1" applyFill="1" applyBorder="1" applyAlignment="1">
      <alignment horizontal="right" vertical="center"/>
    </xf>
    <xf numFmtId="14" fontId="13" fillId="0" borderId="0" xfId="0" applyNumberFormat="1" applyFont="1" applyAlignment="1">
      <alignment horizontal="right"/>
    </xf>
    <xf numFmtId="165" fontId="13" fillId="0" borderId="0" xfId="0" applyNumberFormat="1" applyFont="1" applyAlignment="1">
      <alignment horizontal="right"/>
    </xf>
    <xf numFmtId="0" fontId="5" fillId="0" borderId="1" xfId="0" applyFont="1" applyBorder="1" applyAlignment="1">
      <alignment horizontal="left"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1" fillId="0" borderId="1" xfId="0" applyFont="1" applyBorder="1" applyAlignment="1">
      <alignment vertical="center"/>
    </xf>
    <xf numFmtId="49" fontId="31" fillId="0" borderId="1" xfId="0" applyNumberFormat="1" applyFont="1" applyBorder="1" applyAlignment="1">
      <alignment horizontal="left" vertical="center"/>
    </xf>
    <xf numFmtId="3"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66" fontId="42" fillId="0" borderId="1" xfId="0" applyNumberFormat="1" applyFont="1" applyBorder="1" applyAlignment="1">
      <alignment horizontal="center" vertical="center"/>
    </xf>
    <xf numFmtId="166" fontId="31" fillId="0" borderId="1" xfId="0" applyNumberFormat="1" applyFont="1" applyBorder="1" applyAlignment="1">
      <alignment horizontal="left" vertical="center"/>
    </xf>
    <xf numFmtId="14" fontId="31" fillId="0" borderId="1" xfId="0" applyNumberFormat="1" applyFont="1" applyBorder="1" applyAlignment="1">
      <alignment horizontal="center" vertical="center"/>
    </xf>
    <xf numFmtId="14" fontId="31" fillId="0" borderId="1" xfId="0" applyNumberFormat="1" applyFont="1" applyBorder="1" applyAlignment="1">
      <alignment vertical="center"/>
    </xf>
    <xf numFmtId="166" fontId="31" fillId="0" borderId="1" xfId="0" applyNumberFormat="1" applyFont="1" applyBorder="1" applyAlignment="1">
      <alignment vertical="center"/>
    </xf>
    <xf numFmtId="2" fontId="31" fillId="0" borderId="1" xfId="1" applyNumberFormat="1" applyFont="1" applyFill="1" applyBorder="1" applyAlignment="1">
      <alignment horizontal="left" vertical="center"/>
    </xf>
    <xf numFmtId="14" fontId="31" fillId="0" borderId="1" xfId="0" quotePrefix="1" applyNumberFormat="1" applyFont="1" applyBorder="1" applyAlignment="1">
      <alignment vertical="center"/>
    </xf>
    <xf numFmtId="0" fontId="31" fillId="0" borderId="1" xfId="1" applyFont="1" applyFill="1" applyBorder="1" applyAlignment="1">
      <alignment vertical="center"/>
    </xf>
    <xf numFmtId="0" fontId="31" fillId="0" borderId="1" xfId="1" applyFont="1" applyBorder="1" applyAlignment="1">
      <alignment vertical="center"/>
    </xf>
    <xf numFmtId="0" fontId="42" fillId="3" borderId="1" xfId="0" applyFont="1" applyFill="1" applyBorder="1" applyAlignment="1">
      <alignment vertical="center"/>
    </xf>
    <xf numFmtId="49" fontId="31" fillId="3" borderId="1" xfId="0" applyNumberFormat="1" applyFont="1" applyFill="1" applyBorder="1" applyAlignment="1">
      <alignment horizontal="left" vertical="center"/>
    </xf>
    <xf numFmtId="0" fontId="31" fillId="3" borderId="1" xfId="0" applyFont="1" applyFill="1" applyBorder="1" applyAlignment="1">
      <alignment horizontal="center" vertical="center"/>
    </xf>
    <xf numFmtId="49" fontId="31" fillId="3" borderId="1" xfId="0" applyNumberFormat="1" applyFont="1" applyFill="1" applyBorder="1" applyAlignment="1">
      <alignment horizontal="center" vertical="center"/>
    </xf>
    <xf numFmtId="166" fontId="31" fillId="3" borderId="1" xfId="0" applyNumberFormat="1" applyFont="1" applyFill="1" applyBorder="1" applyAlignment="1">
      <alignment horizontal="center" vertical="center"/>
    </xf>
    <xf numFmtId="166" fontId="42" fillId="3" borderId="1" xfId="0" applyNumberFormat="1" applyFont="1" applyFill="1" applyBorder="1" applyAlignment="1">
      <alignment horizontal="center" vertical="center"/>
    </xf>
    <xf numFmtId="14" fontId="31" fillId="3" borderId="1" xfId="0" applyNumberFormat="1" applyFont="1" applyFill="1" applyBorder="1" applyAlignment="1">
      <alignment horizontal="center" vertical="center"/>
    </xf>
    <xf numFmtId="14" fontId="31" fillId="3" borderId="1" xfId="0" applyNumberFormat="1" applyFont="1" applyFill="1" applyBorder="1" applyAlignment="1">
      <alignment vertical="center"/>
    </xf>
    <xf numFmtId="166" fontId="31" fillId="3" borderId="1" xfId="0" applyNumberFormat="1" applyFont="1" applyFill="1" applyBorder="1" applyAlignment="1">
      <alignment vertical="center"/>
    </xf>
    <xf numFmtId="2" fontId="31" fillId="3" borderId="1" xfId="0" applyNumberFormat="1" applyFont="1" applyFill="1" applyBorder="1" applyAlignment="1">
      <alignment horizontal="left" vertical="center"/>
    </xf>
    <xf numFmtId="14" fontId="31" fillId="0" borderId="1" xfId="0" quotePrefix="1" applyNumberFormat="1" applyFont="1" applyBorder="1" applyAlignment="1">
      <alignment horizontal="center" vertical="center"/>
    </xf>
    <xf numFmtId="14" fontId="31" fillId="2" borderId="1" xfId="0" applyNumberFormat="1" applyFont="1" applyFill="1" applyBorder="1" applyAlignment="1">
      <alignment vertical="center"/>
    </xf>
    <xf numFmtId="0" fontId="31" fillId="0" borderId="1" xfId="1" applyFont="1" applyFill="1" applyBorder="1" applyAlignment="1">
      <alignment horizontal="left" vertical="center"/>
    </xf>
    <xf numFmtId="0" fontId="43" fillId="0" borderId="0" xfId="0" applyFont="1"/>
    <xf numFmtId="0" fontId="18" fillId="2" borderId="1" xfId="0" applyFont="1" applyFill="1" applyBorder="1" applyAlignment="1">
      <alignment horizontal="center" vertical="center" wrapText="1"/>
    </xf>
    <xf numFmtId="0" fontId="20" fillId="3" borderId="1" xfId="0" applyFont="1" applyFill="1" applyBorder="1" applyAlignment="1">
      <alignmen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0" fillId="3" borderId="1" xfId="0" applyFill="1" applyBorder="1"/>
    <xf numFmtId="0" fontId="0" fillId="0" borderId="1" xfId="0" applyBorder="1" applyAlignment="1">
      <alignment horizontal="left" vertical="center"/>
    </xf>
    <xf numFmtId="0" fontId="31" fillId="0" borderId="1" xfId="0" applyFont="1" applyBorder="1" applyAlignment="1">
      <alignment horizontal="left" vertical="center"/>
    </xf>
    <xf numFmtId="0" fontId="17" fillId="2" borderId="1" xfId="0" applyFont="1" applyFill="1" applyBorder="1" applyAlignment="1">
      <alignment horizontal="left" vertical="center"/>
    </xf>
    <xf numFmtId="3" fontId="20" fillId="2" borderId="1" xfId="0" applyNumberFormat="1" applyFont="1" applyFill="1" applyBorder="1" applyAlignment="1">
      <alignment horizontal="center" vertical="center"/>
    </xf>
    <xf numFmtId="3" fontId="17" fillId="2" borderId="1" xfId="0" applyNumberFormat="1" applyFont="1" applyFill="1" applyBorder="1" applyAlignment="1">
      <alignment horizontal="left" vertical="center"/>
    </xf>
    <xf numFmtId="0" fontId="17" fillId="2" borderId="1" xfId="0" applyFont="1" applyFill="1" applyBorder="1" applyAlignment="1">
      <alignment horizontal="center" vertical="center"/>
    </xf>
    <xf numFmtId="0" fontId="0" fillId="3" borderId="1" xfId="0" applyFill="1" applyBorder="1" applyAlignment="1">
      <alignment horizontal="left" vertical="center"/>
    </xf>
    <xf numFmtId="14" fontId="17" fillId="2" borderId="1" xfId="0" applyNumberFormat="1" applyFont="1" applyFill="1" applyBorder="1" applyAlignment="1">
      <alignment horizontal="center" vertical="center"/>
    </xf>
    <xf numFmtId="3" fontId="17" fillId="0" borderId="1" xfId="0" applyNumberFormat="1" applyFont="1" applyBorder="1" applyAlignment="1">
      <alignment horizontal="center" vertical="center"/>
    </xf>
    <xf numFmtId="0" fontId="44" fillId="0" borderId="0" xfId="0" applyFont="1"/>
    <xf numFmtId="0" fontId="38" fillId="0" borderId="0" xfId="0" applyFont="1" applyAlignment="1">
      <alignment horizontal="left"/>
    </xf>
    <xf numFmtId="165" fontId="38" fillId="0" borderId="0" xfId="0" applyNumberFormat="1" applyFont="1" applyAlignment="1">
      <alignment horizontal="left" vertical="center"/>
    </xf>
    <xf numFmtId="0" fontId="38" fillId="0" borderId="0" xfId="0" applyFont="1" applyAlignment="1">
      <alignment horizontal="left" vertical="center"/>
    </xf>
    <xf numFmtId="165" fontId="38" fillId="0" borderId="0" xfId="0" applyNumberFormat="1" applyFont="1" applyAlignment="1">
      <alignment horizontal="left"/>
    </xf>
    <xf numFmtId="0" fontId="45" fillId="0" borderId="0" xfId="1" applyFont="1" applyBorder="1"/>
    <xf numFmtId="0" fontId="31" fillId="0" borderId="3" xfId="0" applyFont="1" applyBorder="1" applyAlignment="1">
      <alignment vertical="center"/>
    </xf>
    <xf numFmtId="165" fontId="17" fillId="0" borderId="1" xfId="0" quotePrefix="1" applyNumberFormat="1" applyFont="1" applyBorder="1" applyAlignment="1">
      <alignment horizontal="right" vertical="center"/>
    </xf>
    <xf numFmtId="0" fontId="31" fillId="3" borderId="1" xfId="0" applyFont="1" applyFill="1" applyBorder="1" applyAlignment="1">
      <alignment vertical="center"/>
    </xf>
    <xf numFmtId="0" fontId="31" fillId="0" borderId="1" xfId="0" applyFont="1" applyBorder="1"/>
    <xf numFmtId="165" fontId="33" fillId="0" borderId="0" xfId="0" applyNumberFormat="1" applyFont="1"/>
    <xf numFmtId="49" fontId="33" fillId="0" borderId="0" xfId="0" applyNumberFormat="1" applyFont="1"/>
    <xf numFmtId="165" fontId="46" fillId="0" borderId="4" xfId="0" applyNumberFormat="1" applyFont="1" applyBorder="1" applyAlignment="1">
      <alignment horizontal="left" vertical="center"/>
    </xf>
    <xf numFmtId="0" fontId="17" fillId="3" borderId="1" xfId="0" applyFont="1" applyFill="1" applyBorder="1" applyAlignment="1">
      <alignment horizontal="left" vertical="center" indent="1"/>
    </xf>
    <xf numFmtId="2" fontId="20" fillId="3" borderId="1" xfId="0" applyNumberFormat="1" applyFont="1" applyFill="1" applyBorder="1" applyAlignment="1">
      <alignment horizontal="center" vertical="center"/>
    </xf>
    <xf numFmtId="4" fontId="20" fillId="3" borderId="1" xfId="0" applyNumberFormat="1" applyFont="1" applyFill="1" applyBorder="1" applyAlignment="1">
      <alignment horizontal="center" vertical="center"/>
    </xf>
    <xf numFmtId="165" fontId="17" fillId="0" borderId="1" xfId="0" applyNumberFormat="1" applyFont="1" applyBorder="1" applyAlignment="1">
      <alignment horizontal="right" vertical="center" wrapText="1"/>
    </xf>
    <xf numFmtId="0" fontId="0" fillId="0" borderId="1" xfId="0" applyBorder="1"/>
    <xf numFmtId="0" fontId="17" fillId="0" borderId="1" xfId="0" quotePrefix="1" applyFont="1" applyBorder="1" applyAlignment="1">
      <alignment horizontal="center" vertical="center"/>
    </xf>
    <xf numFmtId="49" fontId="17" fillId="0" borderId="1" xfId="0" applyNumberFormat="1" applyFont="1" applyBorder="1" applyAlignment="1">
      <alignment horizontal="right" vertical="center"/>
    </xf>
    <xf numFmtId="2" fontId="17" fillId="3" borderId="1" xfId="0" applyNumberFormat="1" applyFont="1" applyFill="1" applyBorder="1" applyAlignment="1">
      <alignment horizontal="right" vertical="center"/>
    </xf>
    <xf numFmtId="4" fontId="20" fillId="3" borderId="1" xfId="0" applyNumberFormat="1" applyFont="1" applyFill="1" applyBorder="1" applyAlignment="1">
      <alignment horizontal="left" vertical="center"/>
    </xf>
    <xf numFmtId="1" fontId="20" fillId="3" borderId="1" xfId="0" applyNumberFormat="1" applyFont="1" applyFill="1" applyBorder="1" applyAlignment="1">
      <alignment horizontal="left" vertical="center"/>
    </xf>
    <xf numFmtId="49" fontId="20" fillId="3" borderId="1" xfId="0" applyNumberFormat="1" applyFont="1" applyFill="1" applyBorder="1" applyAlignment="1">
      <alignment horizontal="left" vertical="center"/>
    </xf>
    <xf numFmtId="0" fontId="25" fillId="0" borderId="1" xfId="0" applyFont="1" applyBorder="1" applyAlignment="1">
      <alignment horizontal="justify" vertical="center"/>
    </xf>
    <xf numFmtId="4" fontId="17" fillId="0" borderId="1" xfId="0" applyNumberFormat="1" applyFont="1" applyBorder="1" applyAlignment="1">
      <alignment horizontal="left" vertical="center"/>
    </xf>
    <xf numFmtId="0" fontId="17" fillId="0" borderId="1" xfId="0" applyFont="1" applyBorder="1" applyAlignment="1">
      <alignment horizontal="left" vertical="center" wrapText="1"/>
    </xf>
    <xf numFmtId="4" fontId="17" fillId="0" borderId="1" xfId="0" applyNumberFormat="1" applyFont="1" applyBorder="1" applyAlignment="1">
      <alignment horizontal="left"/>
    </xf>
    <xf numFmtId="0" fontId="17" fillId="3" borderId="1" xfId="0" applyFont="1" applyFill="1" applyBorder="1" applyAlignment="1">
      <alignment horizontal="right" vertical="center"/>
    </xf>
    <xf numFmtId="165" fontId="20" fillId="3" borderId="1" xfId="0" applyNumberFormat="1" applyFont="1" applyFill="1" applyBorder="1" applyAlignment="1">
      <alignment horizontal="left" vertical="center"/>
    </xf>
    <xf numFmtId="0" fontId="25" fillId="0" borderId="1" xfId="0" applyFont="1" applyBorder="1" applyAlignment="1">
      <alignment horizontal="center" vertical="center" wrapText="1"/>
    </xf>
    <xf numFmtId="0" fontId="24" fillId="0" borderId="1" xfId="0" applyFont="1" applyBorder="1" applyAlignment="1">
      <alignment horizontal="justify" vertical="top" wrapText="1"/>
    </xf>
    <xf numFmtId="0" fontId="25" fillId="0" borderId="1" xfId="0" applyFont="1" applyBorder="1" applyAlignment="1">
      <alignment horizontal="justify" vertical="top" wrapText="1"/>
    </xf>
    <xf numFmtId="49" fontId="29" fillId="0" borderId="1" xfId="0" applyNumberFormat="1" applyFont="1" applyBorder="1" applyAlignment="1">
      <alignment horizontal="center" vertical="top" wrapText="1"/>
    </xf>
    <xf numFmtId="0" fontId="26" fillId="0" borderId="1" xfId="0" applyFont="1" applyBorder="1" applyAlignment="1">
      <alignment horizontal="left" vertical="top" wrapText="1" indent="1"/>
    </xf>
    <xf numFmtId="0" fontId="25" fillId="0" borderId="1" xfId="0" applyFont="1" applyBorder="1" applyAlignment="1">
      <alignment horizontal="center" vertical="top" wrapText="1"/>
    </xf>
    <xf numFmtId="49" fontId="29" fillId="0" borderId="1" xfId="0" applyNumberFormat="1" applyFont="1" applyBorder="1" applyAlignment="1">
      <alignment vertical="top" wrapText="1"/>
    </xf>
    <xf numFmtId="0" fontId="30" fillId="0" borderId="1" xfId="0" applyFont="1" applyBorder="1" applyAlignment="1">
      <alignment horizontal="justify" vertical="top" wrapText="1"/>
    </xf>
    <xf numFmtId="0" fontId="25" fillId="0" borderId="1" xfId="0" applyFont="1" applyBorder="1" applyAlignment="1">
      <alignment vertical="top" wrapText="1"/>
    </xf>
    <xf numFmtId="0" fontId="27" fillId="0" borderId="1" xfId="0" applyFont="1" applyBorder="1" applyAlignment="1">
      <alignment horizontal="justify" vertical="top" wrapText="1"/>
    </xf>
    <xf numFmtId="0" fontId="41" fillId="0" borderId="1" xfId="0" applyFont="1" applyBorder="1" applyAlignment="1">
      <alignment horizontal="left" vertical="center"/>
    </xf>
    <xf numFmtId="165" fontId="31" fillId="0" borderId="1" xfId="0" applyNumberFormat="1" applyFont="1" applyBorder="1" applyAlignment="1">
      <alignment horizontal="right" vertical="center"/>
    </xf>
    <xf numFmtId="49" fontId="31" fillId="0" borderId="1" xfId="0" applyNumberFormat="1" applyFont="1" applyBorder="1" applyAlignment="1">
      <alignment horizontal="center" vertical="center"/>
    </xf>
    <xf numFmtId="49" fontId="42" fillId="2" borderId="1" xfId="0" applyNumberFormat="1" applyFont="1" applyFill="1" applyBorder="1" applyAlignment="1">
      <alignment horizontal="center" vertical="center" wrapText="1"/>
    </xf>
    <xf numFmtId="0" fontId="47" fillId="2" borderId="1" xfId="0" applyFont="1" applyFill="1" applyBorder="1" applyAlignment="1">
      <alignment horizontal="center" vertical="center" wrapText="1"/>
    </xf>
    <xf numFmtId="0" fontId="42" fillId="3" borderId="1" xfId="0" applyFont="1" applyFill="1" applyBorder="1" applyAlignment="1">
      <alignment horizontal="center" vertical="center"/>
    </xf>
    <xf numFmtId="0" fontId="31" fillId="3" borderId="1" xfId="0" applyFont="1" applyFill="1" applyBorder="1" applyAlignment="1">
      <alignment horizontal="left" vertical="center"/>
    </xf>
    <xf numFmtId="165" fontId="31" fillId="3" borderId="1" xfId="0" applyNumberFormat="1" applyFont="1" applyFill="1" applyBorder="1" applyAlignment="1">
      <alignment horizontal="center" vertical="center"/>
    </xf>
    <xf numFmtId="165" fontId="42" fillId="3" borderId="5" xfId="0" applyNumberFormat="1" applyFont="1" applyFill="1" applyBorder="1" applyAlignment="1">
      <alignment horizontal="left" vertical="center"/>
    </xf>
    <xf numFmtId="0" fontId="31" fillId="0" borderId="5" xfId="0" applyFont="1" applyBorder="1" applyAlignment="1">
      <alignment vertical="center"/>
    </xf>
    <xf numFmtId="0" fontId="2" fillId="0" borderId="6" xfId="0" applyFont="1" applyBorder="1" applyAlignment="1">
      <alignment vertical="center" wrapText="1"/>
    </xf>
    <xf numFmtId="0" fontId="0" fillId="0" borderId="6" xfId="0" applyBorder="1" applyAlignment="1">
      <alignment wrapText="1"/>
    </xf>
    <xf numFmtId="0" fontId="2" fillId="0" borderId="0" xfId="0" applyFont="1" applyAlignment="1">
      <alignment vertical="center" wrapText="1"/>
    </xf>
    <xf numFmtId="0" fontId="0" fillId="0" borderId="0" xfId="0" applyAlignment="1">
      <alignment wrapText="1"/>
    </xf>
    <xf numFmtId="49" fontId="29" fillId="0" borderId="1" xfId="0" applyNumberFormat="1" applyFont="1" applyBorder="1" applyAlignment="1">
      <alignment horizontal="center" vertical="top" wrapText="1"/>
    </xf>
    <xf numFmtId="0" fontId="25" fillId="0" borderId="1" xfId="0" applyFont="1" applyBorder="1" applyAlignment="1">
      <alignment horizontal="center" vertical="top" wrapText="1"/>
    </xf>
    <xf numFmtId="0" fontId="24" fillId="0" borderId="1" xfId="0" applyFont="1" applyBorder="1" applyAlignment="1">
      <alignment horizontal="center" vertical="top" wrapText="1"/>
    </xf>
    <xf numFmtId="49" fontId="24" fillId="0" borderId="0" xfId="0" applyNumberFormat="1" applyFont="1" applyAlignment="1">
      <alignment horizontal="center" vertical="center"/>
    </xf>
    <xf numFmtId="0" fontId="24" fillId="0" borderId="0" xfId="0" applyFont="1" applyAlignment="1">
      <alignment horizontal="center" vertical="center"/>
    </xf>
    <xf numFmtId="49"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1" fillId="0" borderId="1" xfId="0" applyFont="1" applyBorder="1" applyAlignment="1">
      <alignment horizontal="center" vertical="center" wrapText="1"/>
    </xf>
    <xf numFmtId="0" fontId="42"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Alignment="1">
      <alignment horizontal="left" vertical="center" wrapText="1"/>
    </xf>
    <xf numFmtId="0" fontId="0" fillId="0" borderId="0" xfId="0" applyAlignment="1">
      <alignment vertical="center" wrapText="1"/>
    </xf>
    <xf numFmtId="0" fontId="17" fillId="0" borderId="1" xfId="0" applyFont="1" applyBorder="1" applyAlignment="1">
      <alignment horizontal="center" vertical="center"/>
    </xf>
    <xf numFmtId="0" fontId="0" fillId="0" borderId="0" xfId="0" applyAlignment="1">
      <alignment horizontal="left"/>
    </xf>
    <xf numFmtId="0" fontId="17" fillId="0" borderId="0" xfId="0" applyFont="1" applyAlignment="1">
      <alignment horizontal="left" vertical="center"/>
    </xf>
    <xf numFmtId="0" fontId="0" fillId="0" borderId="0" xfId="0"/>
    <xf numFmtId="14" fontId="17"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17" fillId="0" borderId="0" xfId="0" applyFont="1" applyAlignment="1">
      <alignment horizontal="left" wrapText="1"/>
    </xf>
    <xf numFmtId="0" fontId="17" fillId="2" borderId="2" xfId="0" applyFont="1" applyFill="1" applyBorder="1" applyAlignment="1">
      <alignment horizontal="left" vertical="center"/>
    </xf>
    <xf numFmtId="0" fontId="17" fillId="2" borderId="2" xfId="0" applyFont="1" applyFill="1" applyBorder="1" applyAlignment="1">
      <alignment horizontal="center" vertical="center"/>
    </xf>
    <xf numFmtId="0" fontId="17" fillId="0" borderId="2" xfId="0" applyFont="1" applyBorder="1" applyAlignment="1">
      <alignment horizontal="left"/>
    </xf>
    <xf numFmtId="0" fontId="20" fillId="2" borderId="1" xfId="0"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14" fontId="31" fillId="2" borderId="1"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4" fontId="17" fillId="2" borderId="1" xfId="0" applyNumberFormat="1" applyFont="1" applyFill="1" applyBorder="1" applyAlignment="1">
      <alignment horizontal="right" vertical="center" wrapText="1"/>
    </xf>
    <xf numFmtId="0" fontId="0" fillId="0" borderId="1" xfId="0" applyBorder="1" applyAlignment="1">
      <alignment horizontal="right" vertical="center" wrapText="1"/>
    </xf>
    <xf numFmtId="4" fontId="17" fillId="2" borderId="1" xfId="0" applyNumberFormat="1" applyFont="1" applyFill="1" applyBorder="1" applyAlignment="1">
      <alignment horizontal="center" vertical="center" wrapText="1"/>
    </xf>
    <xf numFmtId="0" fontId="17" fillId="0" borderId="0" xfId="0" applyFont="1" applyAlignment="1">
      <alignment horizontal="left"/>
    </xf>
    <xf numFmtId="0" fontId="2" fillId="0" borderId="0" xfId="0" applyFont="1"/>
    <xf numFmtId="49" fontId="17" fillId="0" borderId="1" xfId="0" applyNumberFormat="1" applyFont="1" applyBorder="1" applyAlignment="1">
      <alignment horizontal="center" vertical="center" wrapText="1"/>
    </xf>
    <xf numFmtId="9" fontId="17" fillId="2" borderId="1" xfId="0" applyNumberFormat="1" applyFont="1" applyFill="1" applyBorder="1" applyAlignment="1">
      <alignment horizontal="center" vertical="center" wrapText="1"/>
    </xf>
    <xf numFmtId="9" fontId="20" fillId="2" borderId="1" xfId="0" applyNumberFormat="1" applyFont="1" applyFill="1" applyBorder="1" applyAlignment="1">
      <alignment horizontal="center" vertical="center" wrapText="1"/>
    </xf>
  </cellXfs>
  <cellStyles count="6">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minfin.krskstate.ru/openbudget/law" TargetMode="External"/><Relationship Id="rId21" Type="http://schemas.openxmlformats.org/officeDocument/2006/relationships/hyperlink" Target="http://mf.nnov.ru/index.php?option=com_k2&amp;view=item&amp;id=1509:zakony-ob-oblastnom-byudzhete-na-ocherednoj-finansovyj-god-i-na-planovyj-period&amp;Itemid=553" TargetMode="External"/><Relationship Id="rId42" Type="http://schemas.openxmlformats.org/officeDocument/2006/relationships/hyperlink" Target="https://www.govvrn.ru/npafin?p_p_id=Foldersanddocuments_WAR_foldersanddocumentsportlet&amp;p_p_lifecycle=0&amp;p_p_state=normal&amp;p_p_mode=view&amp;folderId=9206361" TargetMode="External"/><Relationship Id="rId47" Type="http://schemas.openxmlformats.org/officeDocument/2006/relationships/hyperlink" Target="https://fin.tmbreg.ru/6347/2010/9821.html" TargetMode="External"/><Relationship Id="rId63" Type="http://schemas.openxmlformats.org/officeDocument/2006/relationships/hyperlink" Target="https://minfin.kbr.ru/activity/byudzhet/" TargetMode="External"/><Relationship Id="rId68" Type="http://schemas.openxmlformats.org/officeDocument/2006/relationships/hyperlink" Target="https://www.mfur.ru/budjet/formirovanie/2022-god.php" TargetMode="External"/><Relationship Id="rId84" Type="http://schemas.openxmlformats.org/officeDocument/2006/relationships/hyperlink" Target="https://egov-buryatia.ru/minfin/activities/directions/respublikanskiy-byudzhet/2022-2024/zakony-o-byudzhete.php" TargetMode="External"/><Relationship Id="rId89" Type="http://schemas.openxmlformats.org/officeDocument/2006/relationships/hyperlink" Target="https://openbudget.49gov.ru/dokumenty" TargetMode="External"/><Relationship Id="rId16" Type="http://schemas.openxmlformats.org/officeDocument/2006/relationships/hyperlink" Target="http://finance.pskov.ru/doc/documents" TargetMode="External"/><Relationship Id="rId11" Type="http://schemas.openxmlformats.org/officeDocument/2006/relationships/hyperlink" Target="https://www.yarregion.ru/depts/depfin/tmpPages/docs.aspx" TargetMode="External"/><Relationship Id="rId32" Type="http://schemas.openxmlformats.org/officeDocument/2006/relationships/hyperlink" Target="http://sakhminfin.ru/" TargetMode="External"/><Relationship Id="rId37" Type="http://schemas.openxmlformats.org/officeDocument/2006/relationships/hyperlink" Target="http://forcitizens.ru/ob/dokumenty/zakon-o-byudzhete/2022-god" TargetMode="External"/><Relationship Id="rId53" Type="http://schemas.openxmlformats.org/officeDocument/2006/relationships/hyperlink" Target="https://finance.lenobl.ru/ru/pravovaya-baza/oblastnoe-zakondatelstvo/byudzhet-lo/ob2022/" TargetMode="External"/><Relationship Id="rId58" Type="http://schemas.openxmlformats.org/officeDocument/2006/relationships/hyperlink" Target="https://minfinkubani.ru/budget_execution/detail.php?ID=90015&amp;IBLOCK_ID=31&amp;str_date=23.12.2021" TargetMode="External"/><Relationship Id="rId74" Type="http://schemas.openxmlformats.org/officeDocument/2006/relationships/hyperlink" Target="http://www.finupr.kurganobl.ru/index.php?test=bud22" TargetMode="External"/><Relationship Id="rId79" Type="http://schemas.openxmlformats.org/officeDocument/2006/relationships/hyperlink" Target="https://r-19.ru/authorities/ministry-of-finance-of-the-republic-of-khakassia/docs/8484/124736.html" TargetMode="External"/><Relationship Id="rId5" Type="http://schemas.openxmlformats.org/officeDocument/2006/relationships/hyperlink" Target="http://budget.mosreg.ru/byudzhet-dlya-grazhdan/zakon-o-byudzhete-mo/" TargetMode="External"/><Relationship Id="rId90" Type="http://schemas.openxmlformats.org/officeDocument/2006/relationships/hyperlink" Target="https://openbudget.sakhminfin.ru/Menu/Page/599" TargetMode="External"/><Relationship Id="rId95" Type="http://schemas.openxmlformats.org/officeDocument/2006/relationships/hyperlink" Target="https://minfin.novreg.ru/documents/563.html" TargetMode="External"/><Relationship Id="rId22" Type="http://schemas.openxmlformats.org/officeDocument/2006/relationships/hyperlink" Target="http://finance.pnzreg.ru/docs/bpo/osnzakon.php" TargetMode="External"/><Relationship Id="rId27" Type="http://schemas.openxmlformats.org/officeDocument/2006/relationships/hyperlink" Target="http://mfnso.nso.ru/page/3777" TargetMode="External"/><Relationship Id="rId43" Type="http://schemas.openxmlformats.org/officeDocument/2006/relationships/hyperlink" Target="https://pre.admoblkaluga.ru/main/work/finances/budget/2022-2024_1.php" TargetMode="External"/><Relationship Id="rId48" Type="http://schemas.openxmlformats.org/officeDocument/2006/relationships/hyperlink" Target="https://portal.tverfin.ru/Menu/Page/645" TargetMode="External"/><Relationship Id="rId64" Type="http://schemas.openxmlformats.org/officeDocument/2006/relationships/hyperlink" Target="http://minfin.alania.gov.ru/index.php/pages/763" TargetMode="External"/><Relationship Id="rId69" Type="http://schemas.openxmlformats.org/officeDocument/2006/relationships/hyperlink" Target="https://minfin.cap.ru/action/activity/byudzhet/respublikanskij-byudzhet-chuvashskoj-respubliki/2022-god/zakon-chuvashskoj-respubliki-ot-25-noyabrya-2021-g" TargetMode="External"/><Relationship Id="rId8" Type="http://schemas.openxmlformats.org/officeDocument/2006/relationships/hyperlink" Target="https://orel-region.ru/index.php?head=20&amp;part=25&amp;in=131" TargetMode="External"/><Relationship Id="rId51" Type="http://schemas.openxmlformats.org/officeDocument/2006/relationships/hyperlink" Target="https://minfin.rkomi.ru/deyatelnost/byudjet/zakony-respubliki-komi-proekty-zakonov-o-respublikanskom-byudjete-respubliki-komi-i-vnesenii-izmeneniy-v-nego/byudjet-na-2022-2024-gody" TargetMode="External"/><Relationship Id="rId72" Type="http://schemas.openxmlformats.org/officeDocument/2006/relationships/hyperlink" Target="https://minfin.saratov.gov.ru/budget/zakon-o-byudzhete/zakon-ob-oblastnom-byudzhete/zakon-ob-oblastnom-byudzhete-2022-2024-g" TargetMode="External"/><Relationship Id="rId80" Type="http://schemas.openxmlformats.org/officeDocument/2006/relationships/hyperlink" Target="https://minfin.alregn.ru/bud/z2022/" TargetMode="External"/><Relationship Id="rId85" Type="http://schemas.openxmlformats.org/officeDocument/2006/relationships/hyperlink" Target="https://minfin.sakha.gov.ru/zakony-o-bjudzhete/2022-2024-gg/pervonachalno-utverzhdennyy-zakon" TargetMode="External"/><Relationship Id="rId93" Type="http://schemas.openxmlformats.org/officeDocument/2006/relationships/hyperlink" Target="http://openbudget.gfu.ru/budget/law/" TargetMode="External"/><Relationship Id="rId3" Type="http://schemas.openxmlformats.org/officeDocument/2006/relationships/hyperlink" Target="http://bryanskoblfin.ru/Show/Category/10?ItemId=4" TargetMode="External"/><Relationship Id="rId12" Type="http://schemas.openxmlformats.org/officeDocument/2006/relationships/hyperlink" Target="https://www.mos.ru/findep/" TargetMode="External"/><Relationship Id="rId17" Type="http://schemas.openxmlformats.org/officeDocument/2006/relationships/hyperlink" Target="http://bks.pskov.ru/ebudget/Show/Category/10?ItemId=257" TargetMode="External"/><Relationship Id="rId25" Type="http://schemas.openxmlformats.org/officeDocument/2006/relationships/hyperlink" Target="http://www.minfin74.ru/mBudget/law/" TargetMode="External"/><Relationship Id="rId33" Type="http://schemas.openxmlformats.org/officeDocument/2006/relationships/hyperlink" Target="http://&#1095;&#1091;&#1082;&#1086;&#1090;&#1082;&#1072;.&#1088;&#1092;/vlast/organy-vlasti/depfin/" TargetMode="External"/><Relationship Id="rId38" Type="http://schemas.openxmlformats.org/officeDocument/2006/relationships/hyperlink" Target="http://www.minfin.kirov.ru/otkrytyy-byudzhet/dlya-spetsialistov/oblastnoy-byudzhet/%d0%9f%d0%bb%d0%b0%d0%bd%d0%b8%d1%80%d0%be%d0%b2%d0%b0%d0%bd%d0%b8%d0%b5%20%d0%b1%d1%8e%d0%b4%d0%b6%d0%b5%d1%82%d0%b0/" TargetMode="External"/><Relationship Id="rId46" Type="http://schemas.openxmlformats.org/officeDocument/2006/relationships/hyperlink" Target="http://www.finsmol.ru/zbudget/a0oAgZ8SSXRf" TargetMode="External"/><Relationship Id="rId59" Type="http://schemas.openxmlformats.org/officeDocument/2006/relationships/hyperlink" Target="http://volgafin.volgograd.ru/norms/acts/17581/" TargetMode="External"/><Relationship Id="rId67" Type="http://schemas.openxmlformats.org/officeDocument/2006/relationships/hyperlink" Target="https://minfin.tatarstan.ru/2022.htm?pub_id=3026165" TargetMode="External"/><Relationship Id="rId20" Type="http://schemas.openxmlformats.org/officeDocument/2006/relationships/hyperlink" Target="http://www.mfsk.ru/law/z_sk" TargetMode="External"/><Relationship Id="rId41" Type="http://schemas.openxmlformats.org/officeDocument/2006/relationships/hyperlink" Target="http://beldepfin.ru/dokumenty/vse-dokumenty/zakon-belgorodskoj-oblasti-ot-16-dekabrya-2021-god/" TargetMode="External"/><Relationship Id="rId54" Type="http://schemas.openxmlformats.org/officeDocument/2006/relationships/hyperlink" Target="https://fincom.gov.spb.ru/budget/info/acts/1" TargetMode="External"/><Relationship Id="rId62" Type="http://schemas.openxmlformats.org/officeDocument/2006/relationships/hyperlink" Target="https://ob.sev.gov.ru/dokumenty/zakon-o-byudzhete/2022-i-planovyj-period-2023-2024-gg" TargetMode="External"/><Relationship Id="rId70" Type="http://schemas.openxmlformats.org/officeDocument/2006/relationships/hyperlink" Target="https://mfin.permkrai.ru/dokumenty/171433/" TargetMode="External"/><Relationship Id="rId75" Type="http://schemas.openxmlformats.org/officeDocument/2006/relationships/hyperlink" Target="https://admtyumen.ru/ogv_ru/finance/finance/bugjet/more.htm?id=11938559@cmsArticle" TargetMode="External"/><Relationship Id="rId83" Type="http://schemas.openxmlformats.org/officeDocument/2006/relationships/hyperlink" Target="https://depfin.tomsk.gov.ru/documents/front/view/id/74856" TargetMode="External"/><Relationship Id="rId88" Type="http://schemas.openxmlformats.org/officeDocument/2006/relationships/hyperlink" Target="http://ob.fin.amurobl.ru/dokumenty/zakon/pervon_redakcia/2022" TargetMode="External"/><Relationship Id="rId91" Type="http://schemas.openxmlformats.org/officeDocument/2006/relationships/hyperlink" Target="http://portal-ob.volgafin.ru/dokumenty/zakon_o_byudzhete/2021" TargetMode="External"/><Relationship Id="rId96" Type="http://schemas.openxmlformats.org/officeDocument/2006/relationships/printerSettings" Target="../printerSettings/printerSettings4.bin"/><Relationship Id="rId1" Type="http://schemas.openxmlformats.org/officeDocument/2006/relationships/hyperlink" Target="http://dtf.avo.ru/zakony-vladimirskoj-oblasti" TargetMode="External"/><Relationship Id="rId6" Type="http://schemas.openxmlformats.org/officeDocument/2006/relationships/hyperlink" Target="http://ufin48.ru/Show/Tag/&#1041;&#1102;&#1076;&#1078;&#1077;&#1090;" TargetMode="External"/><Relationship Id="rId15" Type="http://schemas.openxmlformats.org/officeDocument/2006/relationships/hyperlink" Target="https://minfin.gov-murman.ru/open-budget/regional_budget/law_of_budget/" TargetMode="External"/><Relationship Id="rId23" Type="http://schemas.openxmlformats.org/officeDocument/2006/relationships/hyperlink" Target="http://ufo.ulntc.ru/index.php?mgf=budget/open_budget&amp;slep=net" TargetMode="External"/><Relationship Id="rId28" Type="http://schemas.openxmlformats.org/officeDocument/2006/relationships/hyperlink" Target="https://minfin.75.ru/byudzhet/konsolidirovannyy-kraevoy-byudzhet/zakony-o-byudzhete" TargetMode="External"/><Relationship Id="rId36" Type="http://schemas.openxmlformats.org/officeDocument/2006/relationships/hyperlink" Target="http://minfin09.ru/category/load/%d0%b1%d1%8e%d0%b4%d0%b6%d0%b5%d1%82-%d1%80%d0%b5%d1%81%d0%bf%d1%83%d0%b1%d0%bb%d0%b8%d0%ba%d0%b8/2021/" TargetMode="External"/><Relationship Id="rId49" Type="http://schemas.openxmlformats.org/officeDocument/2006/relationships/hyperlink" Target="https://budget.mos.ru/budget" TargetMode="External"/><Relationship Id="rId57" Type="http://schemas.openxmlformats.org/officeDocument/2006/relationships/hyperlink" Target="https://minfin.rk.gov.ru/ru/structure/2021_12_14_16_33_zakon_respubliki_krym_o_biudzhete_respubliki_krym_na_2022_god_i_na_planovyi_period_2023_i_2024_godov_ot_09_12_2021_242_zrk_2021" TargetMode="External"/><Relationship Id="rId10" Type="http://schemas.openxmlformats.org/officeDocument/2006/relationships/hyperlink" Target="https://minfin.tularegion.ru/documents/?SECTION=1579" TargetMode="External"/><Relationship Id="rId31" Type="http://schemas.openxmlformats.org/officeDocument/2006/relationships/hyperlink" Target="https://minfin.49gov.ru/documents/" TargetMode="External"/><Relationship Id="rId44" Type="http://schemas.openxmlformats.org/officeDocument/2006/relationships/hyperlink" Target="http://depfin.adm44.ru/Budget/Zakon/Zakon22/" TargetMode="External"/><Relationship Id="rId52" Type="http://schemas.openxmlformats.org/officeDocument/2006/relationships/hyperlink" Target="https://df.gov35.ru/otkrytyy-byudzhet/zakony-ob-oblastnom-byudzhete/2022/index.php?ELEMENT_ID=14048" TargetMode="External"/><Relationship Id="rId60" Type="http://schemas.openxmlformats.org/officeDocument/2006/relationships/hyperlink" Target="https://minfin.donland.ru/documents/active/115063/" TargetMode="External"/><Relationship Id="rId65" Type="http://schemas.openxmlformats.org/officeDocument/2006/relationships/hyperlink" Target="https://minfin.bashkortostan.ru/documents/active/391235/" TargetMode="External"/><Relationship Id="rId73" Type="http://schemas.openxmlformats.org/officeDocument/2006/relationships/hyperlink" Target="http://ufo.ulntc.ru:8080/dokumenty/utverzhdennyj-zakon-o-byudzhete/2022-god" TargetMode="External"/><Relationship Id="rId78" Type="http://schemas.openxmlformats.org/officeDocument/2006/relationships/hyperlink" Target="https://minfin.rtyva.ru/node/19726/" TargetMode="External"/><Relationship Id="rId81" Type="http://schemas.openxmlformats.org/officeDocument/2006/relationships/hyperlink" Target="https://www.ofukem.ru/budget/laws2022-2024/" TargetMode="External"/><Relationship Id="rId86" Type="http://schemas.openxmlformats.org/officeDocument/2006/relationships/hyperlink" Target="https://www.kamgov.ru/minfin/budzet-2022" TargetMode="External"/><Relationship Id="rId94" Type="http://schemas.openxmlformats.org/officeDocument/2006/relationships/hyperlink" Target="http://budget.orb.ru/" TargetMode="External"/><Relationship Id="rId4" Type="http://schemas.openxmlformats.org/officeDocument/2006/relationships/hyperlink" Target="http://df.ivanovoobl.ru/regionalnye-finansy/zakon-ob-oblastnom-byudzhete/" TargetMode="External"/><Relationship Id="rId9" Type="http://schemas.openxmlformats.org/officeDocument/2006/relationships/hyperlink" Target="http://depfin.orel-region.ru:8096/ebudget/Menu/Page/36" TargetMode="External"/><Relationship Id="rId13" Type="http://schemas.openxmlformats.org/officeDocument/2006/relationships/hyperlink" Target="https://dvinaland.ru/budget/zakon/" TargetMode="External"/><Relationship Id="rId18" Type="http://schemas.openxmlformats.org/officeDocument/2006/relationships/hyperlink" Target="http://dfei.adm-nao.ru/zakony-o-byudzhete/" TargetMode="External"/><Relationship Id="rId39" Type="http://schemas.openxmlformats.org/officeDocument/2006/relationships/hyperlink" Target="http://saratov.gov.ru/gov/auth/minfin/" TargetMode="External"/><Relationship Id="rId34" Type="http://schemas.openxmlformats.org/officeDocument/2006/relationships/hyperlink" Target="http://chaogov.ru/otkrytyy-byudzhet/zakon-o-byudzhete.php" TargetMode="External"/><Relationship Id="rId50" Type="http://schemas.openxmlformats.org/officeDocument/2006/relationships/hyperlink" Target="http://minfin.karelia.ru/zakon-o-bjudzhete-6/" TargetMode="External"/><Relationship Id="rId55" Type="http://schemas.openxmlformats.org/officeDocument/2006/relationships/hyperlink" Target="http://minfin.kalmregion.ru/deyatelnost/byudzhet-respubliki-kalmykiya/" TargetMode="External"/><Relationship Id="rId76" Type="http://schemas.openxmlformats.org/officeDocument/2006/relationships/hyperlink" Target="https://www.yamalfin.ru/index.php?option=com_content&amp;view=article&amp;id=4356:2021-11-26-12-08-01&amp;catid=232:2021-11-26-11-24-33&amp;Itemid=147" TargetMode="External"/><Relationship Id="rId7" Type="http://schemas.openxmlformats.org/officeDocument/2006/relationships/hyperlink" Target="http://mef.mosreg.ru/" TargetMode="External"/><Relationship Id="rId71" Type="http://schemas.openxmlformats.org/officeDocument/2006/relationships/hyperlink" Target="https://minfin-samara.ru/2022-2024/" TargetMode="External"/><Relationship Id="rId92" Type="http://schemas.openxmlformats.org/officeDocument/2006/relationships/hyperlink" Target="http://old.mari-el.gov.ru/minfin/DocLib20/2022%20%D0%B3%D0%BE%D0%B4/zakonobudgete2022-2024.aspx" TargetMode="External"/><Relationship Id="rId2" Type="http://schemas.openxmlformats.org/officeDocument/2006/relationships/hyperlink" Target="http://www.tverfin.ru/np-baza/regionalnye-normativnye-pravovye-akty/" TargetMode="External"/><Relationship Id="rId29" Type="http://schemas.openxmlformats.org/officeDocument/2006/relationships/hyperlink" Target="https://primorsky.ru/authorities/executive-agencies/departments/finance/laws.php" TargetMode="External"/><Relationship Id="rId24" Type="http://schemas.openxmlformats.org/officeDocument/2006/relationships/hyperlink" Target="https://minfin.midural.ru/document/category/20%20-%20document_list" TargetMode="External"/><Relationship Id="rId40" Type="http://schemas.openxmlformats.org/officeDocument/2006/relationships/hyperlink" Target="https://irkobl.ru/sites/minfin/activity/obl/" TargetMode="External"/><Relationship Id="rId45" Type="http://schemas.openxmlformats.org/officeDocument/2006/relationships/hyperlink" Target="https://kursk.ru/region/economy/page-153264/" TargetMode="External"/><Relationship Id="rId66" Type="http://schemas.openxmlformats.org/officeDocument/2006/relationships/hyperlink" Target="https://www.minfinrm.ru/norm-akty-new/zakony/norm-prav-akty/budget-2022/" TargetMode="External"/><Relationship Id="rId87" Type="http://schemas.openxmlformats.org/officeDocument/2006/relationships/hyperlink" Target="https://minfin.khabkrai.ru/portal/Show/Content/4272?ParentItemId=227" TargetMode="External"/><Relationship Id="rId61" Type="http://schemas.openxmlformats.org/officeDocument/2006/relationships/hyperlink" Target="https://fin.sev.gov.ru/pravovye-aktu/regionalnye-npa/regionalnye-npa-2021/" TargetMode="External"/><Relationship Id="rId82" Type="http://schemas.openxmlformats.org/officeDocument/2006/relationships/hyperlink" Target="https://mf.omskportal.ru/oiv/mf/otrasl/otkrbudg/obl-budget/2022-2024/01" TargetMode="External"/><Relationship Id="rId19" Type="http://schemas.openxmlformats.org/officeDocument/2006/relationships/hyperlink" Target="http://minfinrd.ru/svedeniya_ob_ispolzovanii_vydelyaemykh_byudzhetnykh_sredstv" TargetMode="External"/><Relationship Id="rId14" Type="http://schemas.openxmlformats.org/officeDocument/2006/relationships/hyperlink" Target="https://minfin39.ru/budget/process/current/" TargetMode="External"/><Relationship Id="rId30" Type="http://schemas.openxmlformats.org/officeDocument/2006/relationships/hyperlink" Target="https://www.fin.amurobl.ru/pages/normativno-pravovye-akty/regionalnyy-uroven/zakony-ao/" TargetMode="External"/><Relationship Id="rId35" Type="http://schemas.openxmlformats.org/officeDocument/2006/relationships/hyperlink" Target="https://minfin.ryazangov.ru/documents/documents_RO/zakony-ob-oblastnom-byudzhete-ryazanskoy-oblasti/index.php" TargetMode="External"/><Relationship Id="rId56" Type="http://schemas.openxmlformats.org/officeDocument/2006/relationships/hyperlink" Target="http://minfin01-maykop.ru/Show/Content/3054?ParentItemId=55" TargetMode="External"/><Relationship Id="rId77" Type="http://schemas.openxmlformats.org/officeDocument/2006/relationships/hyperlink" Target="https://www.minfin-altai.ru/deyatelnost/proekt-byudzheta-zakony-o-byudzhete-zakony-ob-ispolnenii-byudzheta/2022-2024/zakon-o-byudzhe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EDBC-E408-0442-8932-467EFE4662C7}">
  <sheetPr>
    <pageSetUpPr fitToPage="1"/>
  </sheetPr>
  <dimension ref="A1:I95"/>
  <sheetViews>
    <sheetView tabSelected="1" zoomScaleNormal="100" zoomScalePageLayoutView="80" workbookViewId="0">
      <pane ySplit="4" topLeftCell="A5" activePane="bottomLeft" state="frozen"/>
      <selection activeCell="G33" sqref="G33:G2385"/>
      <selection pane="bottomLeft"/>
    </sheetView>
  </sheetViews>
  <sheetFormatPr baseColWidth="10" defaultColWidth="8.83203125" defaultRowHeight="15"/>
  <cols>
    <col min="1" max="1" width="24.83203125" customWidth="1"/>
    <col min="2" max="2" width="12.83203125" customWidth="1"/>
    <col min="3" max="3" width="12.5" customWidth="1"/>
    <col min="4" max="4" width="9.1640625" customWidth="1"/>
    <col min="5" max="7" width="20.83203125" customWidth="1"/>
    <col min="8" max="9" width="28.83203125" customWidth="1"/>
  </cols>
  <sheetData>
    <row r="1" spans="1:9" ht="25" customHeight="1">
      <c r="A1" s="39" t="s">
        <v>678</v>
      </c>
      <c r="B1" s="40"/>
      <c r="C1" s="40"/>
      <c r="D1" s="40"/>
      <c r="E1" s="40"/>
      <c r="F1" s="40"/>
      <c r="G1" s="40"/>
      <c r="H1" s="40"/>
      <c r="I1" s="40"/>
    </row>
    <row r="2" spans="1:9" ht="15" customHeight="1">
      <c r="A2" s="41" t="s">
        <v>659</v>
      </c>
      <c r="B2" s="42"/>
      <c r="C2" s="42"/>
      <c r="D2" s="42"/>
      <c r="E2" s="42"/>
      <c r="F2" s="42"/>
      <c r="G2" s="42"/>
      <c r="H2" s="42"/>
      <c r="I2" s="42"/>
    </row>
    <row r="3" spans="1:9" ht="131" customHeight="1">
      <c r="A3" s="133" t="s">
        <v>675</v>
      </c>
      <c r="B3" s="134" t="s">
        <v>106</v>
      </c>
      <c r="C3" s="134" t="s">
        <v>104</v>
      </c>
      <c r="D3" s="134" t="s">
        <v>689</v>
      </c>
      <c r="E3" s="137" t="s">
        <v>229</v>
      </c>
      <c r="F3" s="137" t="s">
        <v>230</v>
      </c>
      <c r="G3" s="137" t="s">
        <v>231</v>
      </c>
      <c r="H3" s="137" t="s">
        <v>373</v>
      </c>
      <c r="I3" s="133" t="s">
        <v>374</v>
      </c>
    </row>
    <row r="4" spans="1:9" ht="16" customHeight="1">
      <c r="A4" s="37" t="s">
        <v>84</v>
      </c>
      <c r="B4" s="11" t="s">
        <v>105</v>
      </c>
      <c r="C4" s="11" t="s">
        <v>85</v>
      </c>
      <c r="D4" s="11" t="s">
        <v>85</v>
      </c>
      <c r="E4" s="10" t="s">
        <v>85</v>
      </c>
      <c r="F4" s="12" t="s">
        <v>85</v>
      </c>
      <c r="G4" s="12" t="s">
        <v>85</v>
      </c>
      <c r="H4" s="12" t="s">
        <v>85</v>
      </c>
      <c r="I4" s="12" t="s">
        <v>85</v>
      </c>
    </row>
    <row r="5" spans="1:9" s="9" customFormat="1" ht="15" customHeight="1">
      <c r="A5" s="38" t="s">
        <v>104</v>
      </c>
      <c r="B5" s="19"/>
      <c r="C5" s="19"/>
      <c r="D5" s="20">
        <f>SUM(E5:I5)</f>
        <v>12</v>
      </c>
      <c r="E5" s="21">
        <v>4</v>
      </c>
      <c r="F5" s="22">
        <v>2</v>
      </c>
      <c r="G5" s="22">
        <v>2</v>
      </c>
      <c r="H5" s="22">
        <v>2</v>
      </c>
      <c r="I5" s="22">
        <v>2</v>
      </c>
    </row>
    <row r="6" spans="1:9" s="9" customFormat="1" ht="15" customHeight="1">
      <c r="A6" s="219" t="s">
        <v>203</v>
      </c>
      <c r="B6" s="19"/>
      <c r="C6" s="19"/>
      <c r="D6" s="20"/>
      <c r="E6" s="21"/>
      <c r="F6" s="22"/>
      <c r="G6" s="22"/>
      <c r="H6" s="22"/>
      <c r="I6" s="22"/>
    </row>
    <row r="7" spans="1:9" ht="16" customHeight="1">
      <c r="A7" s="15" t="s">
        <v>3</v>
      </c>
      <c r="B7" s="16">
        <f t="shared" ref="B7:B53" si="0">ROUND(D7/C7*100,1)</f>
        <v>100</v>
      </c>
      <c r="C7" s="16">
        <f t="shared" ref="C7:C39" si="1">$D$5</f>
        <v>12</v>
      </c>
      <c r="D7" s="16">
        <f t="shared" ref="D7:D53" si="2">SUM(E7:I7)</f>
        <v>12</v>
      </c>
      <c r="E7" s="17">
        <f>'1.1'!F9</f>
        <v>4</v>
      </c>
      <c r="F7" s="13">
        <f>'1.2'!C9</f>
        <v>2</v>
      </c>
      <c r="G7" s="13">
        <f>'1.3'!C9</f>
        <v>2</v>
      </c>
      <c r="H7" s="13">
        <f>'1.4'!E10</f>
        <v>2</v>
      </c>
      <c r="I7" s="13">
        <f>'1.5'!E10</f>
        <v>2</v>
      </c>
    </row>
    <row r="8" spans="1:9" ht="16" customHeight="1">
      <c r="A8" s="15" t="s">
        <v>6</v>
      </c>
      <c r="B8" s="16">
        <f t="shared" si="0"/>
        <v>100</v>
      </c>
      <c r="C8" s="16">
        <f t="shared" si="1"/>
        <v>12</v>
      </c>
      <c r="D8" s="16">
        <f t="shared" si="2"/>
        <v>12</v>
      </c>
      <c r="E8" s="17">
        <f>'1.1'!F12</f>
        <v>4</v>
      </c>
      <c r="F8" s="13">
        <f>'1.2'!C12</f>
        <v>2</v>
      </c>
      <c r="G8" s="13">
        <f>'1.3'!C12</f>
        <v>2</v>
      </c>
      <c r="H8" s="13">
        <f>'1.4'!E13</f>
        <v>2</v>
      </c>
      <c r="I8" s="13">
        <f>'1.5'!E13</f>
        <v>2</v>
      </c>
    </row>
    <row r="9" spans="1:9" ht="16" customHeight="1">
      <c r="A9" s="15" t="s">
        <v>8</v>
      </c>
      <c r="B9" s="16">
        <f t="shared" si="0"/>
        <v>100</v>
      </c>
      <c r="C9" s="16">
        <f t="shared" si="1"/>
        <v>12</v>
      </c>
      <c r="D9" s="16">
        <f t="shared" si="2"/>
        <v>12</v>
      </c>
      <c r="E9" s="17">
        <f>'1.1'!F14</f>
        <v>4</v>
      </c>
      <c r="F9" s="13">
        <f>'1.2'!C14</f>
        <v>2</v>
      </c>
      <c r="G9" s="13">
        <f>'1.3'!C14</f>
        <v>2</v>
      </c>
      <c r="H9" s="13">
        <f>'1.4'!E15</f>
        <v>2</v>
      </c>
      <c r="I9" s="13">
        <f>'1.5'!E15</f>
        <v>2</v>
      </c>
    </row>
    <row r="10" spans="1:9" ht="16" customHeight="1">
      <c r="A10" s="15" t="s">
        <v>28</v>
      </c>
      <c r="B10" s="16">
        <f t="shared" si="0"/>
        <v>100</v>
      </c>
      <c r="C10" s="16">
        <f t="shared" si="1"/>
        <v>12</v>
      </c>
      <c r="D10" s="16">
        <f t="shared" si="2"/>
        <v>12</v>
      </c>
      <c r="E10" s="17">
        <f>'1.1'!F36</f>
        <v>4</v>
      </c>
      <c r="F10" s="13">
        <f>'1.2'!C36</f>
        <v>2</v>
      </c>
      <c r="G10" s="13">
        <f>'1.3'!C36</f>
        <v>2</v>
      </c>
      <c r="H10" s="13">
        <f>'1.4'!E37</f>
        <v>2</v>
      </c>
      <c r="I10" s="13">
        <f>'1.5'!E37</f>
        <v>2</v>
      </c>
    </row>
    <row r="11" spans="1:9" ht="16" customHeight="1">
      <c r="A11" s="15" t="s">
        <v>32</v>
      </c>
      <c r="B11" s="16">
        <f t="shared" si="0"/>
        <v>100</v>
      </c>
      <c r="C11" s="16">
        <f t="shared" si="1"/>
        <v>12</v>
      </c>
      <c r="D11" s="16">
        <f t="shared" si="2"/>
        <v>12</v>
      </c>
      <c r="E11" s="17">
        <f>'1.1'!F41</f>
        <v>4</v>
      </c>
      <c r="F11" s="13">
        <f>'1.2'!C41</f>
        <v>2</v>
      </c>
      <c r="G11" s="13">
        <f>'1.3'!C41</f>
        <v>2</v>
      </c>
      <c r="H11" s="13">
        <f>'1.4'!E42</f>
        <v>2</v>
      </c>
      <c r="I11" s="13">
        <f>'1.5'!E42</f>
        <v>2</v>
      </c>
    </row>
    <row r="12" spans="1:9" ht="16" customHeight="1">
      <c r="A12" s="15" t="s">
        <v>35</v>
      </c>
      <c r="B12" s="16">
        <f t="shared" si="0"/>
        <v>100</v>
      </c>
      <c r="C12" s="16">
        <f t="shared" si="1"/>
        <v>12</v>
      </c>
      <c r="D12" s="16">
        <f t="shared" si="2"/>
        <v>12</v>
      </c>
      <c r="E12" s="17">
        <f>'1.1'!F44</f>
        <v>4</v>
      </c>
      <c r="F12" s="13">
        <f>'1.2'!C44</f>
        <v>2</v>
      </c>
      <c r="G12" s="13">
        <f>'1.3'!C44</f>
        <v>2</v>
      </c>
      <c r="H12" s="13">
        <f>'1.4'!E45</f>
        <v>2</v>
      </c>
      <c r="I12" s="13">
        <f>'1.5'!E45</f>
        <v>2</v>
      </c>
    </row>
    <row r="13" spans="1:9" ht="16" customHeight="1">
      <c r="A13" s="15" t="s">
        <v>42</v>
      </c>
      <c r="B13" s="16">
        <f t="shared" si="0"/>
        <v>100</v>
      </c>
      <c r="C13" s="16">
        <f t="shared" si="1"/>
        <v>12</v>
      </c>
      <c r="D13" s="16">
        <f t="shared" si="2"/>
        <v>12</v>
      </c>
      <c r="E13" s="17">
        <f>'1.1'!F53</f>
        <v>4</v>
      </c>
      <c r="F13" s="13">
        <f>'1.2'!C53</f>
        <v>2</v>
      </c>
      <c r="G13" s="13">
        <f>'1.3'!C53</f>
        <v>2</v>
      </c>
      <c r="H13" s="13">
        <f>'1.4'!E54</f>
        <v>2</v>
      </c>
      <c r="I13" s="13">
        <f>'1.5'!E54</f>
        <v>2</v>
      </c>
    </row>
    <row r="14" spans="1:9" ht="16" customHeight="1">
      <c r="A14" s="15" t="s">
        <v>44</v>
      </c>
      <c r="B14" s="16">
        <f t="shared" si="0"/>
        <v>100</v>
      </c>
      <c r="C14" s="16">
        <f t="shared" si="1"/>
        <v>12</v>
      </c>
      <c r="D14" s="16">
        <f t="shared" si="2"/>
        <v>12</v>
      </c>
      <c r="E14" s="17">
        <f>'1.1'!F55</f>
        <v>4</v>
      </c>
      <c r="F14" s="13">
        <f>'1.2'!C55</f>
        <v>2</v>
      </c>
      <c r="G14" s="13">
        <f>'1.3'!C55</f>
        <v>2</v>
      </c>
      <c r="H14" s="13">
        <f>'1.4'!E56</f>
        <v>2</v>
      </c>
      <c r="I14" s="13">
        <f>'1.5'!E56</f>
        <v>2</v>
      </c>
    </row>
    <row r="15" spans="1:9" s="7" customFormat="1" ht="16" customHeight="1">
      <c r="A15" s="15" t="s">
        <v>50</v>
      </c>
      <c r="B15" s="16">
        <f t="shared" si="0"/>
        <v>100</v>
      </c>
      <c r="C15" s="16">
        <f t="shared" si="1"/>
        <v>12</v>
      </c>
      <c r="D15" s="16">
        <f t="shared" si="2"/>
        <v>12</v>
      </c>
      <c r="E15" s="17">
        <f>'1.1'!F63</f>
        <v>4</v>
      </c>
      <c r="F15" s="13">
        <f>'1.2'!C63</f>
        <v>2</v>
      </c>
      <c r="G15" s="13">
        <f>'1.3'!C63</f>
        <v>2</v>
      </c>
      <c r="H15" s="13">
        <f>'1.4'!E64</f>
        <v>2</v>
      </c>
      <c r="I15" s="13">
        <f>'1.5'!E64</f>
        <v>2</v>
      </c>
    </row>
    <row r="16" spans="1:9" ht="16" customHeight="1">
      <c r="A16" s="15" t="s">
        <v>54</v>
      </c>
      <c r="B16" s="16">
        <f t="shared" si="0"/>
        <v>100</v>
      </c>
      <c r="C16" s="16">
        <f t="shared" si="1"/>
        <v>12</v>
      </c>
      <c r="D16" s="16">
        <f t="shared" si="2"/>
        <v>12</v>
      </c>
      <c r="E16" s="17">
        <f>'1.1'!F67</f>
        <v>4</v>
      </c>
      <c r="F16" s="13">
        <f>'1.2'!C67</f>
        <v>2</v>
      </c>
      <c r="G16" s="13">
        <f>'1.3'!C67</f>
        <v>2</v>
      </c>
      <c r="H16" s="13">
        <f>'1.4'!E68</f>
        <v>2</v>
      </c>
      <c r="I16" s="13">
        <f>'1.5'!E68</f>
        <v>2</v>
      </c>
    </row>
    <row r="17" spans="1:9" ht="16" customHeight="1">
      <c r="A17" s="18" t="s">
        <v>685</v>
      </c>
      <c r="B17" s="16">
        <f t="shared" si="0"/>
        <v>100</v>
      </c>
      <c r="C17" s="16">
        <f t="shared" si="1"/>
        <v>12</v>
      </c>
      <c r="D17" s="16">
        <f t="shared" si="2"/>
        <v>12</v>
      </c>
      <c r="E17" s="17">
        <f>'1.1'!F74</f>
        <v>4</v>
      </c>
      <c r="F17" s="13">
        <f>'1.2'!C74</f>
        <v>2</v>
      </c>
      <c r="G17" s="13">
        <f>'1.3'!C74</f>
        <v>2</v>
      </c>
      <c r="H17" s="13">
        <f>'1.4'!E75</f>
        <v>2</v>
      </c>
      <c r="I17" s="13">
        <f>'1.5'!E75</f>
        <v>2</v>
      </c>
    </row>
    <row r="18" spans="1:9" ht="16" customHeight="1">
      <c r="A18" s="15" t="s">
        <v>686</v>
      </c>
      <c r="B18" s="16">
        <f t="shared" si="0"/>
        <v>100</v>
      </c>
      <c r="C18" s="16">
        <f t="shared" si="1"/>
        <v>12</v>
      </c>
      <c r="D18" s="16">
        <f t="shared" si="2"/>
        <v>12</v>
      </c>
      <c r="E18" s="17">
        <f>'1.1'!F83</f>
        <v>4</v>
      </c>
      <c r="F18" s="13">
        <f>'1.2'!C83</f>
        <v>2</v>
      </c>
      <c r="G18" s="13">
        <f>'1.3'!C83</f>
        <v>2</v>
      </c>
      <c r="H18" s="13">
        <f>'1.4'!E84</f>
        <v>2</v>
      </c>
      <c r="I18" s="13">
        <f>'1.5'!E84</f>
        <v>2</v>
      </c>
    </row>
    <row r="19" spans="1:9" s="7" customFormat="1" ht="16" customHeight="1">
      <c r="A19" s="15" t="s">
        <v>2</v>
      </c>
      <c r="B19" s="16">
        <f t="shared" si="0"/>
        <v>91.7</v>
      </c>
      <c r="C19" s="16">
        <f t="shared" si="1"/>
        <v>12</v>
      </c>
      <c r="D19" s="16">
        <f t="shared" si="2"/>
        <v>11</v>
      </c>
      <c r="E19" s="17">
        <f>'1.1'!F8</f>
        <v>4</v>
      </c>
      <c r="F19" s="13">
        <f>'1.2'!C8</f>
        <v>2</v>
      </c>
      <c r="G19" s="13">
        <f>'1.3'!C8</f>
        <v>2</v>
      </c>
      <c r="H19" s="13">
        <f>'1.4'!E9</f>
        <v>1</v>
      </c>
      <c r="I19" s="13">
        <f>'1.5'!E9</f>
        <v>2</v>
      </c>
    </row>
    <row r="20" spans="1:9" ht="16" customHeight="1">
      <c r="A20" s="15" t="s">
        <v>4</v>
      </c>
      <c r="B20" s="16">
        <f t="shared" si="0"/>
        <v>91.7</v>
      </c>
      <c r="C20" s="16">
        <f t="shared" si="1"/>
        <v>12</v>
      </c>
      <c r="D20" s="16">
        <f t="shared" si="2"/>
        <v>11</v>
      </c>
      <c r="E20" s="17">
        <f>'1.1'!F10</f>
        <v>4</v>
      </c>
      <c r="F20" s="13">
        <f>'1.2'!C10</f>
        <v>2</v>
      </c>
      <c r="G20" s="13">
        <f>'1.3'!C10</f>
        <v>2</v>
      </c>
      <c r="H20" s="13">
        <f>'1.4'!E11</f>
        <v>1</v>
      </c>
      <c r="I20" s="13">
        <f>'1.5'!E11</f>
        <v>2</v>
      </c>
    </row>
    <row r="21" spans="1:9" ht="16" customHeight="1">
      <c r="A21" s="15" t="s">
        <v>5</v>
      </c>
      <c r="B21" s="16">
        <f t="shared" si="0"/>
        <v>91.7</v>
      </c>
      <c r="C21" s="16">
        <f t="shared" si="1"/>
        <v>12</v>
      </c>
      <c r="D21" s="16">
        <f t="shared" si="2"/>
        <v>11</v>
      </c>
      <c r="E21" s="17">
        <f>'1.1'!F11</f>
        <v>4</v>
      </c>
      <c r="F21" s="13">
        <f>'1.2'!C11</f>
        <v>2</v>
      </c>
      <c r="G21" s="13">
        <f>'1.3'!C11</f>
        <v>2</v>
      </c>
      <c r="H21" s="13">
        <f>'1.4'!E12</f>
        <v>2</v>
      </c>
      <c r="I21" s="13">
        <f>'1.5'!E12</f>
        <v>1</v>
      </c>
    </row>
    <row r="22" spans="1:9" ht="16" customHeight="1">
      <c r="A22" s="15" t="s">
        <v>7</v>
      </c>
      <c r="B22" s="16">
        <f t="shared" si="0"/>
        <v>91.7</v>
      </c>
      <c r="C22" s="16">
        <f t="shared" si="1"/>
        <v>12</v>
      </c>
      <c r="D22" s="16">
        <f t="shared" si="2"/>
        <v>11</v>
      </c>
      <c r="E22" s="17">
        <f>'1.1'!F13</f>
        <v>4</v>
      </c>
      <c r="F22" s="13">
        <f>'1.2'!C13</f>
        <v>2</v>
      </c>
      <c r="G22" s="13">
        <f>'1.3'!C13</f>
        <v>2</v>
      </c>
      <c r="H22" s="13">
        <f>'1.4'!E14</f>
        <v>1</v>
      </c>
      <c r="I22" s="13">
        <f>'1.5'!E14</f>
        <v>2</v>
      </c>
    </row>
    <row r="23" spans="1:9" ht="16" customHeight="1">
      <c r="A23" s="15" t="s">
        <v>9</v>
      </c>
      <c r="B23" s="16">
        <f t="shared" si="0"/>
        <v>91.7</v>
      </c>
      <c r="C23" s="16">
        <f t="shared" si="1"/>
        <v>12</v>
      </c>
      <c r="D23" s="16">
        <f t="shared" si="2"/>
        <v>11</v>
      </c>
      <c r="E23" s="17">
        <f>'1.1'!F15</f>
        <v>4</v>
      </c>
      <c r="F23" s="13">
        <f>'1.2'!C15</f>
        <v>2</v>
      </c>
      <c r="G23" s="13">
        <f>'1.3'!C15</f>
        <v>2</v>
      </c>
      <c r="H23" s="13">
        <f>'1.4'!E16</f>
        <v>1</v>
      </c>
      <c r="I23" s="13">
        <f>'1.5'!E16</f>
        <v>2</v>
      </c>
    </row>
    <row r="24" spans="1:9" ht="16" customHeight="1">
      <c r="A24" s="15" t="s">
        <v>10</v>
      </c>
      <c r="B24" s="16">
        <f t="shared" si="0"/>
        <v>91.7</v>
      </c>
      <c r="C24" s="16">
        <f t="shared" si="1"/>
        <v>12</v>
      </c>
      <c r="D24" s="16">
        <f t="shared" si="2"/>
        <v>11</v>
      </c>
      <c r="E24" s="17">
        <f>'1.1'!F16</f>
        <v>4</v>
      </c>
      <c r="F24" s="13">
        <f>'1.2'!C16</f>
        <v>2</v>
      </c>
      <c r="G24" s="13">
        <f>'1.3'!C16</f>
        <v>2</v>
      </c>
      <c r="H24" s="13">
        <f>'1.4'!E17</f>
        <v>1</v>
      </c>
      <c r="I24" s="13">
        <f>'1.5'!E17</f>
        <v>2</v>
      </c>
    </row>
    <row r="25" spans="1:9" ht="16" customHeight="1">
      <c r="A25" s="15" t="s">
        <v>16</v>
      </c>
      <c r="B25" s="16">
        <f t="shared" si="0"/>
        <v>91.7</v>
      </c>
      <c r="C25" s="16">
        <f t="shared" si="1"/>
        <v>12</v>
      </c>
      <c r="D25" s="16">
        <f t="shared" si="2"/>
        <v>11</v>
      </c>
      <c r="E25" s="17">
        <f>'1.1'!F22</f>
        <v>4</v>
      </c>
      <c r="F25" s="13">
        <f>'1.2'!C22</f>
        <v>2</v>
      </c>
      <c r="G25" s="13">
        <f>'1.3'!C22</f>
        <v>2</v>
      </c>
      <c r="H25" s="13">
        <f>'1.4'!E23</f>
        <v>2</v>
      </c>
      <c r="I25" s="13">
        <f>'1.5'!E23</f>
        <v>1</v>
      </c>
    </row>
    <row r="26" spans="1:9" ht="16" customHeight="1">
      <c r="A26" s="15" t="s">
        <v>19</v>
      </c>
      <c r="B26" s="16">
        <f t="shared" si="0"/>
        <v>91.7</v>
      </c>
      <c r="C26" s="16">
        <f t="shared" si="1"/>
        <v>12</v>
      </c>
      <c r="D26" s="16">
        <f t="shared" si="2"/>
        <v>11</v>
      </c>
      <c r="E26" s="17">
        <f>'1.1'!F26</f>
        <v>4</v>
      </c>
      <c r="F26" s="13">
        <f>'1.2'!C26</f>
        <v>2</v>
      </c>
      <c r="G26" s="13">
        <f>'1.3'!C26</f>
        <v>2</v>
      </c>
      <c r="H26" s="13">
        <f>'1.4'!E27</f>
        <v>1</v>
      </c>
      <c r="I26" s="13">
        <f>'1.5'!E27</f>
        <v>2</v>
      </c>
    </row>
    <row r="27" spans="1:9" s="7" customFormat="1" ht="16" customHeight="1">
      <c r="A27" s="15" t="s">
        <v>22</v>
      </c>
      <c r="B27" s="16">
        <f t="shared" si="0"/>
        <v>91.7</v>
      </c>
      <c r="C27" s="16">
        <f t="shared" si="1"/>
        <v>12</v>
      </c>
      <c r="D27" s="16">
        <f t="shared" si="2"/>
        <v>11</v>
      </c>
      <c r="E27" s="17">
        <f>'1.1'!F29</f>
        <v>4</v>
      </c>
      <c r="F27" s="13">
        <f>'1.2'!C29</f>
        <v>2</v>
      </c>
      <c r="G27" s="13">
        <f>'1.3'!C29</f>
        <v>2</v>
      </c>
      <c r="H27" s="13">
        <f>'1.4'!E30</f>
        <v>1</v>
      </c>
      <c r="I27" s="13">
        <f>'1.5'!E30</f>
        <v>2</v>
      </c>
    </row>
    <row r="28" spans="1:9" ht="16" customHeight="1">
      <c r="A28" s="15" t="s">
        <v>31</v>
      </c>
      <c r="B28" s="16">
        <f t="shared" si="0"/>
        <v>91.7</v>
      </c>
      <c r="C28" s="16">
        <f t="shared" si="1"/>
        <v>12</v>
      </c>
      <c r="D28" s="16">
        <f t="shared" si="2"/>
        <v>11</v>
      </c>
      <c r="E28" s="17">
        <f>'1.1'!F39</f>
        <v>4</v>
      </c>
      <c r="F28" s="13">
        <f>'1.2'!C39</f>
        <v>2</v>
      </c>
      <c r="G28" s="13">
        <f>'1.3'!C39</f>
        <v>2</v>
      </c>
      <c r="H28" s="13">
        <f>'1.4'!E40</f>
        <v>1</v>
      </c>
      <c r="I28" s="13">
        <f>'1.5'!E40</f>
        <v>2</v>
      </c>
    </row>
    <row r="29" spans="1:9" ht="16" customHeight="1">
      <c r="A29" s="15" t="s">
        <v>89</v>
      </c>
      <c r="B29" s="16">
        <f t="shared" si="0"/>
        <v>91.7</v>
      </c>
      <c r="C29" s="16">
        <f t="shared" si="1"/>
        <v>12</v>
      </c>
      <c r="D29" s="16">
        <f t="shared" si="2"/>
        <v>11</v>
      </c>
      <c r="E29" s="17">
        <f>'1.1'!F40</f>
        <v>4</v>
      </c>
      <c r="F29" s="13">
        <f>'1.2'!C40</f>
        <v>2</v>
      </c>
      <c r="G29" s="13">
        <f>'1.3'!C40</f>
        <v>2</v>
      </c>
      <c r="H29" s="13">
        <f>'1.4'!E41</f>
        <v>1</v>
      </c>
      <c r="I29" s="13">
        <f>'1.5'!E41</f>
        <v>2</v>
      </c>
    </row>
    <row r="30" spans="1:9" ht="16" customHeight="1">
      <c r="A30" s="15" t="s">
        <v>682</v>
      </c>
      <c r="B30" s="16">
        <f t="shared" si="0"/>
        <v>91.7</v>
      </c>
      <c r="C30" s="16">
        <f t="shared" si="1"/>
        <v>12</v>
      </c>
      <c r="D30" s="16">
        <f t="shared" si="2"/>
        <v>11</v>
      </c>
      <c r="E30" s="17">
        <f>'1.1'!F56</f>
        <v>4</v>
      </c>
      <c r="F30" s="13">
        <f>'1.2'!C56</f>
        <v>2</v>
      </c>
      <c r="G30" s="13">
        <f>'1.3'!C56</f>
        <v>2</v>
      </c>
      <c r="H30" s="13">
        <f>'1.4'!E57</f>
        <v>1</v>
      </c>
      <c r="I30" s="13">
        <f>'1.5'!E57</f>
        <v>2</v>
      </c>
    </row>
    <row r="31" spans="1:9" ht="16" customHeight="1">
      <c r="A31" s="15" t="s">
        <v>683</v>
      </c>
      <c r="B31" s="16">
        <f t="shared" si="0"/>
        <v>91.7</v>
      </c>
      <c r="C31" s="16">
        <f t="shared" si="1"/>
        <v>12</v>
      </c>
      <c r="D31" s="16">
        <f t="shared" si="2"/>
        <v>11</v>
      </c>
      <c r="E31" s="17">
        <f>'1.1'!F60</f>
        <v>4</v>
      </c>
      <c r="F31" s="13">
        <f>'1.2'!C60</f>
        <v>2</v>
      </c>
      <c r="G31" s="13">
        <f>'1.3'!C60</f>
        <v>2</v>
      </c>
      <c r="H31" s="13">
        <f>'1.4'!E61</f>
        <v>1</v>
      </c>
      <c r="I31" s="13">
        <f>'1.5'!E61</f>
        <v>2</v>
      </c>
    </row>
    <row r="32" spans="1:9" ht="16" customHeight="1">
      <c r="A32" s="15" t="s">
        <v>49</v>
      </c>
      <c r="B32" s="16">
        <f t="shared" si="0"/>
        <v>91.7</v>
      </c>
      <c r="C32" s="16">
        <f t="shared" si="1"/>
        <v>12</v>
      </c>
      <c r="D32" s="16">
        <f t="shared" si="2"/>
        <v>11</v>
      </c>
      <c r="E32" s="17">
        <f>'1.1'!F62</f>
        <v>4</v>
      </c>
      <c r="F32" s="13">
        <f>'1.2'!C62</f>
        <v>2</v>
      </c>
      <c r="G32" s="13">
        <f>'1.3'!C62</f>
        <v>2</v>
      </c>
      <c r="H32" s="13">
        <f>'1.4'!E63</f>
        <v>2</v>
      </c>
      <c r="I32" s="13">
        <f>'1.5'!E63</f>
        <v>1</v>
      </c>
    </row>
    <row r="33" spans="1:9" s="7" customFormat="1" ht="16" customHeight="1">
      <c r="A33" s="15" t="s">
        <v>51</v>
      </c>
      <c r="B33" s="16">
        <f t="shared" si="0"/>
        <v>91.7</v>
      </c>
      <c r="C33" s="16">
        <f t="shared" si="1"/>
        <v>12</v>
      </c>
      <c r="D33" s="16">
        <f t="shared" si="2"/>
        <v>11</v>
      </c>
      <c r="E33" s="17">
        <f>'1.1'!F64</f>
        <v>4</v>
      </c>
      <c r="F33" s="13">
        <f>'1.2'!C64</f>
        <v>2</v>
      </c>
      <c r="G33" s="13">
        <f>'1.3'!C64</f>
        <v>2</v>
      </c>
      <c r="H33" s="13">
        <f>'1.4'!E65</f>
        <v>1</v>
      </c>
      <c r="I33" s="13">
        <f>'1.5'!E65</f>
        <v>2</v>
      </c>
    </row>
    <row r="34" spans="1:9" s="7" customFormat="1" ht="16" customHeight="1">
      <c r="A34" s="15" t="s">
        <v>63</v>
      </c>
      <c r="B34" s="16">
        <f t="shared" si="0"/>
        <v>91.7</v>
      </c>
      <c r="C34" s="16">
        <f t="shared" si="1"/>
        <v>12</v>
      </c>
      <c r="D34" s="16">
        <f t="shared" si="2"/>
        <v>11</v>
      </c>
      <c r="E34" s="17">
        <f>'1.1'!F77</f>
        <v>4</v>
      </c>
      <c r="F34" s="13">
        <f>'1.2'!C77</f>
        <v>2</v>
      </c>
      <c r="G34" s="13">
        <f>'1.3'!C77</f>
        <v>2</v>
      </c>
      <c r="H34" s="13">
        <f>'1.4'!E78</f>
        <v>1</v>
      </c>
      <c r="I34" s="13">
        <f>'1.5'!E78</f>
        <v>2</v>
      </c>
    </row>
    <row r="35" spans="1:9" ht="16" customHeight="1">
      <c r="A35" s="15" t="s">
        <v>66</v>
      </c>
      <c r="B35" s="16">
        <f t="shared" si="0"/>
        <v>91.7</v>
      </c>
      <c r="C35" s="16">
        <f t="shared" si="1"/>
        <v>12</v>
      </c>
      <c r="D35" s="16">
        <f t="shared" si="2"/>
        <v>11</v>
      </c>
      <c r="E35" s="17">
        <f>'1.1'!F79</f>
        <v>4</v>
      </c>
      <c r="F35" s="13">
        <f>'1.2'!C79</f>
        <v>2</v>
      </c>
      <c r="G35" s="13">
        <f>'1.3'!C79</f>
        <v>2</v>
      </c>
      <c r="H35" s="13">
        <f>'1.4'!E80</f>
        <v>1</v>
      </c>
      <c r="I35" s="13">
        <f>'1.5'!E80</f>
        <v>2</v>
      </c>
    </row>
    <row r="36" spans="1:9" ht="16" customHeight="1">
      <c r="A36" s="15" t="s">
        <v>64</v>
      </c>
      <c r="B36" s="16">
        <f t="shared" si="0"/>
        <v>91.7</v>
      </c>
      <c r="C36" s="16">
        <f t="shared" si="1"/>
        <v>12</v>
      </c>
      <c r="D36" s="16">
        <f t="shared" si="2"/>
        <v>11</v>
      </c>
      <c r="E36" s="17">
        <f>'1.1'!F88</f>
        <v>4</v>
      </c>
      <c r="F36" s="13">
        <f>'1.2'!C88</f>
        <v>2</v>
      </c>
      <c r="G36" s="13">
        <f>'1.3'!C88</f>
        <v>2</v>
      </c>
      <c r="H36" s="13">
        <f>'1.4'!E89</f>
        <v>1</v>
      </c>
      <c r="I36" s="13">
        <f>'1.5'!E89</f>
        <v>2</v>
      </c>
    </row>
    <row r="37" spans="1:9" ht="16" customHeight="1">
      <c r="A37" s="15" t="s">
        <v>75</v>
      </c>
      <c r="B37" s="16">
        <f t="shared" si="0"/>
        <v>91.7</v>
      </c>
      <c r="C37" s="16">
        <f t="shared" si="1"/>
        <v>12</v>
      </c>
      <c r="D37" s="16">
        <f t="shared" si="2"/>
        <v>11</v>
      </c>
      <c r="E37" s="17">
        <f>'1.1'!F89</f>
        <v>4</v>
      </c>
      <c r="F37" s="13">
        <f>'1.2'!C89</f>
        <v>2</v>
      </c>
      <c r="G37" s="13">
        <f>'1.3'!C89</f>
        <v>2</v>
      </c>
      <c r="H37" s="13">
        <f>'1.4'!E90</f>
        <v>2</v>
      </c>
      <c r="I37" s="13">
        <f>'1.5'!E90</f>
        <v>1</v>
      </c>
    </row>
    <row r="38" spans="1:9" ht="16" customHeight="1">
      <c r="A38" s="15" t="s">
        <v>76</v>
      </c>
      <c r="B38" s="16">
        <f t="shared" si="0"/>
        <v>91.7</v>
      </c>
      <c r="C38" s="16">
        <f t="shared" si="1"/>
        <v>12</v>
      </c>
      <c r="D38" s="16">
        <f t="shared" si="2"/>
        <v>11</v>
      </c>
      <c r="E38" s="17">
        <f>'1.1'!F91</f>
        <v>4</v>
      </c>
      <c r="F38" s="13">
        <f>'1.2'!C91</f>
        <v>2</v>
      </c>
      <c r="G38" s="13">
        <f>'1.3'!C91</f>
        <v>2</v>
      </c>
      <c r="H38" s="13">
        <f>'1.4'!E92</f>
        <v>1</v>
      </c>
      <c r="I38" s="13">
        <f>'1.5'!E92</f>
        <v>2</v>
      </c>
    </row>
    <row r="39" spans="1:9" ht="16" customHeight="1">
      <c r="A39" s="15" t="s">
        <v>77</v>
      </c>
      <c r="B39" s="16">
        <f t="shared" si="0"/>
        <v>91.7</v>
      </c>
      <c r="C39" s="16">
        <f t="shared" si="1"/>
        <v>12</v>
      </c>
      <c r="D39" s="16">
        <f t="shared" si="2"/>
        <v>11</v>
      </c>
      <c r="E39" s="17">
        <f>'1.1'!F92</f>
        <v>4</v>
      </c>
      <c r="F39" s="13">
        <f>'1.2'!C92</f>
        <v>2</v>
      </c>
      <c r="G39" s="13">
        <f>'1.3'!C92</f>
        <v>2</v>
      </c>
      <c r="H39" s="13">
        <f>'1.4'!E93</f>
        <v>1</v>
      </c>
      <c r="I39" s="13">
        <f>'1.5'!E93</f>
        <v>2</v>
      </c>
    </row>
    <row r="40" spans="1:9" ht="16" customHeight="1">
      <c r="A40" s="15" t="s">
        <v>419</v>
      </c>
      <c r="B40" s="16">
        <f t="shared" si="0"/>
        <v>90</v>
      </c>
      <c r="C40" s="16">
        <f>$D$5-I10</f>
        <v>10</v>
      </c>
      <c r="D40" s="16">
        <f t="shared" si="2"/>
        <v>9</v>
      </c>
      <c r="E40" s="17">
        <f>'1.1'!F35</f>
        <v>4</v>
      </c>
      <c r="F40" s="13">
        <f>'1.2'!C35</f>
        <v>2</v>
      </c>
      <c r="G40" s="13">
        <f>'1.3'!C35</f>
        <v>2</v>
      </c>
      <c r="H40" s="13">
        <f>'1.4'!E36</f>
        <v>1</v>
      </c>
      <c r="I40" s="13" t="str">
        <f>'1.5'!E36</f>
        <v>- *</v>
      </c>
    </row>
    <row r="41" spans="1:9" ht="16" customHeight="1">
      <c r="A41" s="15" t="s">
        <v>14</v>
      </c>
      <c r="B41" s="16">
        <f t="shared" si="0"/>
        <v>83.3</v>
      </c>
      <c r="C41" s="16">
        <f t="shared" ref="C41:C53" si="3">$D$5</f>
        <v>12</v>
      </c>
      <c r="D41" s="16">
        <f t="shared" si="2"/>
        <v>10</v>
      </c>
      <c r="E41" s="17">
        <f>'1.1'!F20</f>
        <v>4</v>
      </c>
      <c r="F41" s="13">
        <f>'1.2'!C20</f>
        <v>2</v>
      </c>
      <c r="G41" s="13">
        <f>'1.3'!C20</f>
        <v>2</v>
      </c>
      <c r="H41" s="13">
        <f>'1.4'!E21</f>
        <v>1</v>
      </c>
      <c r="I41" s="13">
        <f>'1.5'!E21</f>
        <v>1</v>
      </c>
    </row>
    <row r="42" spans="1:9" s="7" customFormat="1" ht="16" customHeight="1">
      <c r="A42" s="15" t="s">
        <v>21</v>
      </c>
      <c r="B42" s="16">
        <f t="shared" si="0"/>
        <v>83.3</v>
      </c>
      <c r="C42" s="16">
        <f t="shared" si="3"/>
        <v>12</v>
      </c>
      <c r="D42" s="16">
        <f t="shared" si="2"/>
        <v>10</v>
      </c>
      <c r="E42" s="17">
        <f>'1.1'!F28</f>
        <v>4</v>
      </c>
      <c r="F42" s="13">
        <f>'1.2'!C28</f>
        <v>2</v>
      </c>
      <c r="G42" s="13">
        <f>'1.3'!C28</f>
        <v>2</v>
      </c>
      <c r="H42" s="13">
        <f>'1.4'!E29</f>
        <v>1</v>
      </c>
      <c r="I42" s="13">
        <f>'1.5'!E29</f>
        <v>1</v>
      </c>
    </row>
    <row r="43" spans="1:9" ht="16" customHeight="1">
      <c r="A43" s="15" t="s">
        <v>25</v>
      </c>
      <c r="B43" s="16">
        <f t="shared" si="0"/>
        <v>83.3</v>
      </c>
      <c r="C43" s="16">
        <f t="shared" si="3"/>
        <v>12</v>
      </c>
      <c r="D43" s="16">
        <f t="shared" si="2"/>
        <v>10</v>
      </c>
      <c r="E43" s="17">
        <f>'1.1'!F32</f>
        <v>4</v>
      </c>
      <c r="F43" s="13">
        <f>'1.2'!C32</f>
        <v>2</v>
      </c>
      <c r="G43" s="13">
        <f>'1.3'!C32</f>
        <v>2</v>
      </c>
      <c r="H43" s="13">
        <f>'1.4'!E33</f>
        <v>1</v>
      </c>
      <c r="I43" s="13">
        <f>'1.5'!E33</f>
        <v>1</v>
      </c>
    </row>
    <row r="44" spans="1:9" ht="16" customHeight="1">
      <c r="A44" s="15" t="s">
        <v>30</v>
      </c>
      <c r="B44" s="16">
        <f t="shared" si="0"/>
        <v>83.3</v>
      </c>
      <c r="C44" s="16">
        <f t="shared" si="3"/>
        <v>12</v>
      </c>
      <c r="D44" s="16">
        <f t="shared" si="2"/>
        <v>10</v>
      </c>
      <c r="E44" s="17">
        <f>'1.1'!F38</f>
        <v>4</v>
      </c>
      <c r="F44" s="13">
        <f>'1.2'!C38</f>
        <v>2</v>
      </c>
      <c r="G44" s="13">
        <f>'1.3'!C38</f>
        <v>2</v>
      </c>
      <c r="H44" s="13">
        <f>'1.4'!E39</f>
        <v>0</v>
      </c>
      <c r="I44" s="13">
        <f>'1.5'!E39</f>
        <v>2</v>
      </c>
    </row>
    <row r="45" spans="1:9" ht="16" customHeight="1">
      <c r="A45" s="15" t="s">
        <v>39</v>
      </c>
      <c r="B45" s="16">
        <f t="shared" si="0"/>
        <v>83.3</v>
      </c>
      <c r="C45" s="16">
        <f t="shared" si="3"/>
        <v>12</v>
      </c>
      <c r="D45" s="16">
        <f t="shared" si="2"/>
        <v>10</v>
      </c>
      <c r="E45" s="17">
        <f>'1.1'!F49</f>
        <v>4</v>
      </c>
      <c r="F45" s="13">
        <f>'1.2'!C49</f>
        <v>2</v>
      </c>
      <c r="G45" s="13">
        <f>'1.3'!C49</f>
        <v>2</v>
      </c>
      <c r="H45" s="13">
        <f>'1.4'!E50</f>
        <v>0</v>
      </c>
      <c r="I45" s="13">
        <f>'1.5'!E50</f>
        <v>2</v>
      </c>
    </row>
    <row r="46" spans="1:9" ht="16" customHeight="1">
      <c r="A46" s="15" t="s">
        <v>47</v>
      </c>
      <c r="B46" s="16">
        <f t="shared" si="0"/>
        <v>83.3</v>
      </c>
      <c r="C46" s="16">
        <f t="shared" si="3"/>
        <v>12</v>
      </c>
      <c r="D46" s="16">
        <f t="shared" si="2"/>
        <v>10</v>
      </c>
      <c r="E46" s="17">
        <f>'1.1'!F59</f>
        <v>4</v>
      </c>
      <c r="F46" s="13">
        <f>'1.2'!C59</f>
        <v>2</v>
      </c>
      <c r="G46" s="13">
        <f>'1.3'!C59</f>
        <v>2</v>
      </c>
      <c r="H46" s="13">
        <f>'1.4'!E60</f>
        <v>0</v>
      </c>
      <c r="I46" s="13">
        <f>'1.5'!E60</f>
        <v>2</v>
      </c>
    </row>
    <row r="47" spans="1:9" ht="16" customHeight="1">
      <c r="A47" s="15" t="s">
        <v>59</v>
      </c>
      <c r="B47" s="16">
        <f t="shared" si="0"/>
        <v>83.3</v>
      </c>
      <c r="C47" s="16">
        <f t="shared" si="3"/>
        <v>12</v>
      </c>
      <c r="D47" s="16">
        <f t="shared" si="2"/>
        <v>10</v>
      </c>
      <c r="E47" s="17">
        <f>'1.1'!F72</f>
        <v>4</v>
      </c>
      <c r="F47" s="13">
        <f>'1.2'!C72</f>
        <v>2</v>
      </c>
      <c r="G47" s="13">
        <f>'1.3'!C72</f>
        <v>2</v>
      </c>
      <c r="H47" s="13">
        <f>'1.4'!E73</f>
        <v>0</v>
      </c>
      <c r="I47" s="13">
        <f>'1.5'!E73</f>
        <v>2</v>
      </c>
    </row>
    <row r="48" spans="1:9" ht="16" customHeight="1">
      <c r="A48" s="15" t="s">
        <v>60</v>
      </c>
      <c r="B48" s="16">
        <f t="shared" si="0"/>
        <v>83.3</v>
      </c>
      <c r="C48" s="16">
        <f t="shared" si="3"/>
        <v>12</v>
      </c>
      <c r="D48" s="16">
        <f t="shared" si="2"/>
        <v>10</v>
      </c>
      <c r="E48" s="17">
        <f>'1.1'!F73</f>
        <v>4</v>
      </c>
      <c r="F48" s="13">
        <f>'1.2'!C73</f>
        <v>2</v>
      </c>
      <c r="G48" s="13">
        <f>'1.3'!C73</f>
        <v>2</v>
      </c>
      <c r="H48" s="13">
        <f>'1.4'!E74</f>
        <v>1</v>
      </c>
      <c r="I48" s="13">
        <f>'1.5'!E74</f>
        <v>1</v>
      </c>
    </row>
    <row r="49" spans="1:9" ht="16" customHeight="1">
      <c r="A49" s="15" t="s">
        <v>72</v>
      </c>
      <c r="B49" s="16">
        <f t="shared" si="0"/>
        <v>83.3</v>
      </c>
      <c r="C49" s="16">
        <f t="shared" si="3"/>
        <v>12</v>
      </c>
      <c r="D49" s="16">
        <f t="shared" si="2"/>
        <v>10</v>
      </c>
      <c r="E49" s="17">
        <f>'1.1'!F85</f>
        <v>4</v>
      </c>
      <c r="F49" s="13">
        <f>'1.2'!C85</f>
        <v>2</v>
      </c>
      <c r="G49" s="13">
        <f>'1.3'!C85</f>
        <v>2</v>
      </c>
      <c r="H49" s="13">
        <f>'1.4'!E86</f>
        <v>2</v>
      </c>
      <c r="I49" s="13">
        <f>'1.5'!E86</f>
        <v>0</v>
      </c>
    </row>
    <row r="50" spans="1:9" ht="16" customHeight="1">
      <c r="A50" s="15" t="s">
        <v>78</v>
      </c>
      <c r="B50" s="16">
        <f t="shared" si="0"/>
        <v>83.3</v>
      </c>
      <c r="C50" s="16">
        <f t="shared" si="3"/>
        <v>12</v>
      </c>
      <c r="D50" s="16">
        <f t="shared" si="2"/>
        <v>10</v>
      </c>
      <c r="E50" s="17">
        <f>'1.1'!F93</f>
        <v>4</v>
      </c>
      <c r="F50" s="13">
        <f>'1.2'!C93</f>
        <v>2</v>
      </c>
      <c r="G50" s="13">
        <f>'1.3'!C93</f>
        <v>2</v>
      </c>
      <c r="H50" s="13">
        <f>'1.4'!E94</f>
        <v>2</v>
      </c>
      <c r="I50" s="13">
        <f>'1.5'!E94</f>
        <v>0</v>
      </c>
    </row>
    <row r="51" spans="1:9" ht="16" customHeight="1">
      <c r="A51" s="15" t="s">
        <v>81</v>
      </c>
      <c r="B51" s="16">
        <f t="shared" si="0"/>
        <v>83.3</v>
      </c>
      <c r="C51" s="16">
        <f t="shared" si="3"/>
        <v>12</v>
      </c>
      <c r="D51" s="16">
        <f t="shared" si="2"/>
        <v>10</v>
      </c>
      <c r="E51" s="17">
        <f>'1.1'!F96</f>
        <v>4</v>
      </c>
      <c r="F51" s="13">
        <f>'1.2'!C96</f>
        <v>2</v>
      </c>
      <c r="G51" s="13">
        <f>'1.3'!C96</f>
        <v>2</v>
      </c>
      <c r="H51" s="13">
        <f>'1.4'!E97</f>
        <v>0</v>
      </c>
      <c r="I51" s="13">
        <f>'1.5'!E97</f>
        <v>2</v>
      </c>
    </row>
    <row r="52" spans="1:9" ht="16" customHeight="1">
      <c r="A52" s="15" t="s">
        <v>82</v>
      </c>
      <c r="B52" s="16">
        <f t="shared" si="0"/>
        <v>83.3</v>
      </c>
      <c r="C52" s="16">
        <f t="shared" si="3"/>
        <v>12</v>
      </c>
      <c r="D52" s="16">
        <f t="shared" si="2"/>
        <v>10</v>
      </c>
      <c r="E52" s="17">
        <f>'1.1'!F97</f>
        <v>2</v>
      </c>
      <c r="F52" s="13">
        <f>'1.2'!C97</f>
        <v>2</v>
      </c>
      <c r="G52" s="13">
        <f>'1.3'!C97</f>
        <v>2</v>
      </c>
      <c r="H52" s="13">
        <f>'1.4'!E98</f>
        <v>2</v>
      </c>
      <c r="I52" s="13">
        <f>'1.5'!E98</f>
        <v>2</v>
      </c>
    </row>
    <row r="53" spans="1:9" ht="16" customHeight="1">
      <c r="A53" s="15" t="s">
        <v>83</v>
      </c>
      <c r="B53" s="16">
        <f t="shared" si="0"/>
        <v>83.3</v>
      </c>
      <c r="C53" s="16">
        <f t="shared" si="3"/>
        <v>12</v>
      </c>
      <c r="D53" s="16">
        <f t="shared" si="2"/>
        <v>10</v>
      </c>
      <c r="E53" s="17">
        <f>'1.1'!F98</f>
        <v>2</v>
      </c>
      <c r="F53" s="13">
        <f>'1.2'!C98</f>
        <v>2</v>
      </c>
      <c r="G53" s="13">
        <f>'1.3'!C98</f>
        <v>2</v>
      </c>
      <c r="H53" s="13">
        <f>'1.4'!E99</f>
        <v>2</v>
      </c>
      <c r="I53" s="13">
        <f>'1.5'!E99</f>
        <v>2</v>
      </c>
    </row>
    <row r="54" spans="1:9" ht="16" customHeight="1">
      <c r="A54" s="132" t="s">
        <v>204</v>
      </c>
      <c r="B54" s="16"/>
      <c r="C54" s="16"/>
      <c r="D54" s="16"/>
      <c r="E54" s="17"/>
      <c r="F54" s="13"/>
      <c r="G54" s="13"/>
      <c r="H54" s="13"/>
      <c r="I54" s="13"/>
    </row>
    <row r="55" spans="1:9" ht="16" customHeight="1">
      <c r="A55" s="15" t="s">
        <v>1</v>
      </c>
      <c r="B55" s="16">
        <f t="shared" ref="B55:B73" si="4">ROUND(D55/C55*100,1)</f>
        <v>75</v>
      </c>
      <c r="C55" s="16">
        <f t="shared" ref="C55:C64" si="5">$D$5</f>
        <v>12</v>
      </c>
      <c r="D55" s="16">
        <f t="shared" ref="D55:D73" si="6">SUM(E55:I55)</f>
        <v>9</v>
      </c>
      <c r="E55" s="17">
        <f>'1.1'!F7</f>
        <v>4</v>
      </c>
      <c r="F55" s="13">
        <f>'1.2'!C7</f>
        <v>2</v>
      </c>
      <c r="G55" s="13">
        <f>'1.3'!C7</f>
        <v>2</v>
      </c>
      <c r="H55" s="13">
        <f>'1.4'!E8</f>
        <v>0</v>
      </c>
      <c r="I55" s="13">
        <f>'1.5'!E8</f>
        <v>1</v>
      </c>
    </row>
    <row r="56" spans="1:9" ht="16" customHeight="1">
      <c r="A56" s="15" t="s">
        <v>15</v>
      </c>
      <c r="B56" s="16">
        <f t="shared" si="4"/>
        <v>75</v>
      </c>
      <c r="C56" s="16">
        <f t="shared" si="5"/>
        <v>12</v>
      </c>
      <c r="D56" s="16">
        <f t="shared" si="6"/>
        <v>9</v>
      </c>
      <c r="E56" s="17">
        <f>'1.1'!F21</f>
        <v>2</v>
      </c>
      <c r="F56" s="13">
        <f>'1.2'!C21</f>
        <v>2</v>
      </c>
      <c r="G56" s="13">
        <f>'1.3'!C21</f>
        <v>2</v>
      </c>
      <c r="H56" s="13">
        <f>'1.4'!E22</f>
        <v>2</v>
      </c>
      <c r="I56" s="13">
        <f>'1.5'!E22</f>
        <v>1</v>
      </c>
    </row>
    <row r="57" spans="1:9" ht="16" customHeight="1">
      <c r="A57" s="15" t="s">
        <v>17</v>
      </c>
      <c r="B57" s="16">
        <f t="shared" si="4"/>
        <v>75</v>
      </c>
      <c r="C57" s="16">
        <f t="shared" si="5"/>
        <v>12</v>
      </c>
      <c r="D57" s="16">
        <f t="shared" si="6"/>
        <v>9</v>
      </c>
      <c r="E57" s="17">
        <f>'1.1'!F23</f>
        <v>4</v>
      </c>
      <c r="F57" s="13">
        <f>'1.2'!C23</f>
        <v>2</v>
      </c>
      <c r="G57" s="13">
        <f>'1.3'!C23</f>
        <v>0</v>
      </c>
      <c r="H57" s="13">
        <f>'1.4'!E24</f>
        <v>1</v>
      </c>
      <c r="I57" s="13">
        <f>'1.5'!E24</f>
        <v>2</v>
      </c>
    </row>
    <row r="58" spans="1:9" s="7" customFormat="1" ht="16" customHeight="1">
      <c r="A58" s="15" t="s">
        <v>26</v>
      </c>
      <c r="B58" s="16">
        <f t="shared" si="4"/>
        <v>75</v>
      </c>
      <c r="C58" s="16">
        <f t="shared" si="5"/>
        <v>12</v>
      </c>
      <c r="D58" s="16">
        <f t="shared" si="6"/>
        <v>9</v>
      </c>
      <c r="E58" s="17">
        <f>'1.1'!F33</f>
        <v>4</v>
      </c>
      <c r="F58" s="13">
        <f>'1.2'!C33</f>
        <v>0</v>
      </c>
      <c r="G58" s="13">
        <f>'1.3'!C33</f>
        <v>2</v>
      </c>
      <c r="H58" s="13">
        <f>'1.4'!E34</f>
        <v>1</v>
      </c>
      <c r="I58" s="13">
        <f>'1.5'!E34</f>
        <v>2</v>
      </c>
    </row>
    <row r="59" spans="1:9" ht="16" customHeight="1">
      <c r="A59" s="15" t="s">
        <v>41</v>
      </c>
      <c r="B59" s="16">
        <f t="shared" si="4"/>
        <v>75</v>
      </c>
      <c r="C59" s="16">
        <f t="shared" si="5"/>
        <v>12</v>
      </c>
      <c r="D59" s="16">
        <f t="shared" si="6"/>
        <v>9</v>
      </c>
      <c r="E59" s="17">
        <f>'1.1'!F52</f>
        <v>1</v>
      </c>
      <c r="F59" s="13">
        <f>'1.2'!C52</f>
        <v>2</v>
      </c>
      <c r="G59" s="13">
        <f>'1.3'!C52</f>
        <v>2</v>
      </c>
      <c r="H59" s="13">
        <f>'1.4'!E53</f>
        <v>2</v>
      </c>
      <c r="I59" s="13">
        <f>'1.5'!E53</f>
        <v>2</v>
      </c>
    </row>
    <row r="60" spans="1:9" ht="16" customHeight="1">
      <c r="A60" s="15" t="s">
        <v>61</v>
      </c>
      <c r="B60" s="16">
        <f t="shared" si="4"/>
        <v>75</v>
      </c>
      <c r="C60" s="16">
        <f t="shared" si="5"/>
        <v>12</v>
      </c>
      <c r="D60" s="16">
        <f t="shared" si="6"/>
        <v>9</v>
      </c>
      <c r="E60" s="17">
        <f>'1.1'!F75</f>
        <v>4</v>
      </c>
      <c r="F60" s="13">
        <f>'1.2'!C75</f>
        <v>2</v>
      </c>
      <c r="G60" s="13">
        <f>'1.3'!C75</f>
        <v>2</v>
      </c>
      <c r="H60" s="13">
        <f>'1.4'!E76</f>
        <v>0</v>
      </c>
      <c r="I60" s="13">
        <f>'1.5'!E76</f>
        <v>1</v>
      </c>
    </row>
    <row r="61" spans="1:9" ht="16" customHeight="1">
      <c r="A61" s="15" t="s">
        <v>69</v>
      </c>
      <c r="B61" s="16">
        <f t="shared" si="4"/>
        <v>75</v>
      </c>
      <c r="C61" s="16">
        <f t="shared" si="5"/>
        <v>12</v>
      </c>
      <c r="D61" s="16">
        <f t="shared" si="6"/>
        <v>9</v>
      </c>
      <c r="E61" s="17">
        <f>'1.1'!F81</f>
        <v>4</v>
      </c>
      <c r="F61" s="13">
        <f>'1.2'!C81</f>
        <v>2</v>
      </c>
      <c r="G61" s="13">
        <f>'1.3'!C81</f>
        <v>2</v>
      </c>
      <c r="H61" s="13">
        <f>'1.4'!E82</f>
        <v>1</v>
      </c>
      <c r="I61" s="13">
        <f>'1.5'!E82</f>
        <v>0</v>
      </c>
    </row>
    <row r="62" spans="1:9" ht="16" customHeight="1">
      <c r="A62" s="15" t="s">
        <v>71</v>
      </c>
      <c r="B62" s="16">
        <f t="shared" si="4"/>
        <v>75</v>
      </c>
      <c r="C62" s="16">
        <f t="shared" si="5"/>
        <v>12</v>
      </c>
      <c r="D62" s="16">
        <f t="shared" si="6"/>
        <v>9</v>
      </c>
      <c r="E62" s="17">
        <f>'1.1'!F84</f>
        <v>4</v>
      </c>
      <c r="F62" s="13">
        <f>'1.2'!C84</f>
        <v>0</v>
      </c>
      <c r="G62" s="13">
        <f>'1.3'!C84</f>
        <v>2</v>
      </c>
      <c r="H62" s="13">
        <f>'1.4'!E85</f>
        <v>1</v>
      </c>
      <c r="I62" s="13">
        <f>'1.5'!E85</f>
        <v>2</v>
      </c>
    </row>
    <row r="63" spans="1:9" ht="16" customHeight="1">
      <c r="A63" s="15" t="s">
        <v>73</v>
      </c>
      <c r="B63" s="16">
        <f t="shared" si="4"/>
        <v>75</v>
      </c>
      <c r="C63" s="16">
        <f t="shared" si="5"/>
        <v>12</v>
      </c>
      <c r="D63" s="16">
        <f t="shared" si="6"/>
        <v>9</v>
      </c>
      <c r="E63" s="17">
        <f>'1.1'!F86</f>
        <v>4</v>
      </c>
      <c r="F63" s="13">
        <f>'1.2'!C86</f>
        <v>0</v>
      </c>
      <c r="G63" s="13">
        <f>'1.3'!C86</f>
        <v>2</v>
      </c>
      <c r="H63" s="13">
        <f>'1.4'!E87</f>
        <v>1</v>
      </c>
      <c r="I63" s="13">
        <f>'1.5'!E87</f>
        <v>2</v>
      </c>
    </row>
    <row r="64" spans="1:9" ht="16" customHeight="1">
      <c r="A64" s="15" t="s">
        <v>68</v>
      </c>
      <c r="B64" s="16">
        <f t="shared" si="4"/>
        <v>75</v>
      </c>
      <c r="C64" s="16">
        <f t="shared" si="5"/>
        <v>12</v>
      </c>
      <c r="D64" s="16">
        <f t="shared" si="6"/>
        <v>9</v>
      </c>
      <c r="E64" s="17">
        <f>'1.1'!F90</f>
        <v>4</v>
      </c>
      <c r="F64" s="13">
        <f>'1.2'!C90</f>
        <v>0</v>
      </c>
      <c r="G64" s="13">
        <f>'1.3'!C90</f>
        <v>2</v>
      </c>
      <c r="H64" s="13">
        <f>'1.4'!E91</f>
        <v>2</v>
      </c>
      <c r="I64" s="13">
        <f>'1.5'!E91</f>
        <v>1</v>
      </c>
    </row>
    <row r="65" spans="1:9" ht="16" customHeight="1">
      <c r="A65" s="15" t="s">
        <v>420</v>
      </c>
      <c r="B65" s="16">
        <f t="shared" si="4"/>
        <v>70</v>
      </c>
      <c r="C65" s="16">
        <f>$D$5-$I$5</f>
        <v>10</v>
      </c>
      <c r="D65" s="16">
        <f t="shared" si="6"/>
        <v>7</v>
      </c>
      <c r="E65" s="17">
        <f>'1.1'!F45</f>
        <v>4</v>
      </c>
      <c r="F65" s="13">
        <f>'1.2'!C45</f>
        <v>0</v>
      </c>
      <c r="G65" s="13">
        <f>'1.3'!C45</f>
        <v>2</v>
      </c>
      <c r="H65" s="13">
        <f>'1.4'!E46</f>
        <v>1</v>
      </c>
      <c r="I65" s="13" t="str">
        <f>'1.5'!E46</f>
        <v>- *</v>
      </c>
    </row>
    <row r="66" spans="1:9" ht="16" customHeight="1">
      <c r="A66" s="15" t="s">
        <v>12</v>
      </c>
      <c r="B66" s="16">
        <f t="shared" si="4"/>
        <v>66.7</v>
      </c>
      <c r="C66" s="16">
        <f t="shared" ref="C66:C73" si="7">$D$5</f>
        <v>12</v>
      </c>
      <c r="D66" s="16">
        <f t="shared" si="6"/>
        <v>8</v>
      </c>
      <c r="E66" s="17">
        <f>'1.1'!F18</f>
        <v>4</v>
      </c>
      <c r="F66" s="13">
        <f>'1.2'!C18</f>
        <v>2</v>
      </c>
      <c r="G66" s="13">
        <f>'1.3'!C18</f>
        <v>2</v>
      </c>
      <c r="H66" s="13">
        <f>'1.4'!E19</f>
        <v>0</v>
      </c>
      <c r="I66" s="13">
        <f>'1.5'!E19</f>
        <v>0</v>
      </c>
    </row>
    <row r="67" spans="1:9" ht="16" customHeight="1">
      <c r="A67" s="15" t="s">
        <v>13</v>
      </c>
      <c r="B67" s="16">
        <f t="shared" si="4"/>
        <v>66.7</v>
      </c>
      <c r="C67" s="16">
        <f t="shared" si="7"/>
        <v>12</v>
      </c>
      <c r="D67" s="16">
        <f t="shared" si="6"/>
        <v>8</v>
      </c>
      <c r="E67" s="17">
        <f>'1.1'!F19</f>
        <v>2</v>
      </c>
      <c r="F67" s="13">
        <f>'1.2'!C19</f>
        <v>2</v>
      </c>
      <c r="G67" s="13">
        <f>'1.3'!C19</f>
        <v>2</v>
      </c>
      <c r="H67" s="13">
        <f>'1.4'!E20</f>
        <v>2</v>
      </c>
      <c r="I67" s="13">
        <f>'1.5'!E20</f>
        <v>0</v>
      </c>
    </row>
    <row r="68" spans="1:9" ht="16" customHeight="1">
      <c r="A68" s="15" t="s">
        <v>24</v>
      </c>
      <c r="B68" s="16">
        <f t="shared" si="4"/>
        <v>66.7</v>
      </c>
      <c r="C68" s="16">
        <f t="shared" si="7"/>
        <v>12</v>
      </c>
      <c r="D68" s="16">
        <f t="shared" si="6"/>
        <v>8</v>
      </c>
      <c r="E68" s="17">
        <f>'1.1'!F31</f>
        <v>4</v>
      </c>
      <c r="F68" s="13">
        <f>'1.2'!C31</f>
        <v>2</v>
      </c>
      <c r="G68" s="13">
        <f>'1.3'!C31</f>
        <v>2</v>
      </c>
      <c r="H68" s="13">
        <f>'1.4'!E32</f>
        <v>0</v>
      </c>
      <c r="I68" s="13">
        <f>'1.5'!E32</f>
        <v>0</v>
      </c>
    </row>
    <row r="69" spans="1:9" ht="16" customHeight="1">
      <c r="A69" s="15" t="s">
        <v>27</v>
      </c>
      <c r="B69" s="16">
        <f t="shared" si="4"/>
        <v>66.7</v>
      </c>
      <c r="C69" s="16">
        <f t="shared" si="7"/>
        <v>12</v>
      </c>
      <c r="D69" s="16">
        <f t="shared" si="6"/>
        <v>8</v>
      </c>
      <c r="E69" s="17">
        <f>'1.1'!F34</f>
        <v>0</v>
      </c>
      <c r="F69" s="13">
        <f>'1.2'!C34</f>
        <v>2</v>
      </c>
      <c r="G69" s="13">
        <f>'1.3'!C34</f>
        <v>2</v>
      </c>
      <c r="H69" s="13">
        <f>'1.4'!E35</f>
        <v>2</v>
      </c>
      <c r="I69" s="13">
        <f>'1.5'!E35</f>
        <v>2</v>
      </c>
    </row>
    <row r="70" spans="1:9" ht="16" customHeight="1">
      <c r="A70" s="15" t="s">
        <v>46</v>
      </c>
      <c r="B70" s="16">
        <f t="shared" si="4"/>
        <v>66.7</v>
      </c>
      <c r="C70" s="16">
        <f t="shared" si="7"/>
        <v>12</v>
      </c>
      <c r="D70" s="16">
        <f t="shared" si="6"/>
        <v>8</v>
      </c>
      <c r="E70" s="17">
        <f>'1.1'!F58</f>
        <v>4</v>
      </c>
      <c r="F70" s="13">
        <f>'1.2'!C58</f>
        <v>2</v>
      </c>
      <c r="G70" s="13">
        <f>'1.3'!C58</f>
        <v>2</v>
      </c>
      <c r="H70" s="13">
        <f>'1.4'!E59</f>
        <v>0</v>
      </c>
      <c r="I70" s="13">
        <f>'1.5'!E59</f>
        <v>0</v>
      </c>
    </row>
    <row r="71" spans="1:9" ht="16" customHeight="1">
      <c r="A71" s="15" t="s">
        <v>52</v>
      </c>
      <c r="B71" s="16">
        <f t="shared" si="4"/>
        <v>66.7</v>
      </c>
      <c r="C71" s="16">
        <f t="shared" si="7"/>
        <v>12</v>
      </c>
      <c r="D71" s="16">
        <f t="shared" si="6"/>
        <v>8</v>
      </c>
      <c r="E71" s="17">
        <f>'1.1'!F65</f>
        <v>2</v>
      </c>
      <c r="F71" s="13">
        <f>'1.2'!C65</f>
        <v>2</v>
      </c>
      <c r="G71" s="13">
        <f>'1.3'!C65</f>
        <v>2</v>
      </c>
      <c r="H71" s="13">
        <f>'1.4'!E66</f>
        <v>0</v>
      </c>
      <c r="I71" s="13">
        <f>'1.5'!E66</f>
        <v>2</v>
      </c>
    </row>
    <row r="72" spans="1:9" ht="16" customHeight="1">
      <c r="A72" s="15" t="s">
        <v>58</v>
      </c>
      <c r="B72" s="16">
        <f t="shared" si="4"/>
        <v>66.7</v>
      </c>
      <c r="C72" s="16">
        <f t="shared" si="7"/>
        <v>12</v>
      </c>
      <c r="D72" s="16">
        <f t="shared" si="6"/>
        <v>8</v>
      </c>
      <c r="E72" s="17">
        <f>'1.1'!F71</f>
        <v>4</v>
      </c>
      <c r="F72" s="13">
        <f>'1.2'!C71</f>
        <v>2</v>
      </c>
      <c r="G72" s="13">
        <f>'1.3'!C71</f>
        <v>2</v>
      </c>
      <c r="H72" s="13">
        <f>'1.4'!E72</f>
        <v>0</v>
      </c>
      <c r="I72" s="13">
        <f>'1.5'!E72</f>
        <v>0</v>
      </c>
    </row>
    <row r="73" spans="1:9" ht="16" customHeight="1">
      <c r="A73" s="15" t="s">
        <v>70</v>
      </c>
      <c r="B73" s="16">
        <f t="shared" si="4"/>
        <v>66.7</v>
      </c>
      <c r="C73" s="16">
        <f t="shared" si="7"/>
        <v>12</v>
      </c>
      <c r="D73" s="16">
        <f t="shared" si="6"/>
        <v>8</v>
      </c>
      <c r="E73" s="17">
        <f>'1.1'!F82</f>
        <v>4</v>
      </c>
      <c r="F73" s="13">
        <f>'1.2'!C82</f>
        <v>2</v>
      </c>
      <c r="G73" s="13">
        <f>'1.3'!C82</f>
        <v>2</v>
      </c>
      <c r="H73" s="13">
        <f>'1.4'!E83</f>
        <v>0</v>
      </c>
      <c r="I73" s="13">
        <f>'1.5'!E83</f>
        <v>0</v>
      </c>
    </row>
    <row r="74" spans="1:9" ht="16" customHeight="1">
      <c r="A74" s="132" t="s">
        <v>205</v>
      </c>
      <c r="B74" s="16"/>
      <c r="C74" s="16"/>
      <c r="D74" s="16"/>
      <c r="E74" s="17"/>
      <c r="F74" s="13"/>
      <c r="G74" s="13"/>
      <c r="H74" s="13"/>
      <c r="I74" s="13"/>
    </row>
    <row r="75" spans="1:9" ht="16" customHeight="1">
      <c r="A75" s="15" t="s">
        <v>20</v>
      </c>
      <c r="B75" s="16">
        <f t="shared" ref="B75:B89" si="8">ROUND(D75/C75*100,1)</f>
        <v>58.3</v>
      </c>
      <c r="C75" s="16">
        <f t="shared" ref="C75:C88" si="9">$D$5</f>
        <v>12</v>
      </c>
      <c r="D75" s="16">
        <f t="shared" ref="D75:D89" si="10">SUM(E75:I75)</f>
        <v>7</v>
      </c>
      <c r="E75" s="17">
        <f>'1.1'!F27</f>
        <v>4</v>
      </c>
      <c r="F75" s="13">
        <f>'1.2'!C27</f>
        <v>0</v>
      </c>
      <c r="G75" s="13">
        <f>'1.3'!C27</f>
        <v>0</v>
      </c>
      <c r="H75" s="13">
        <f>'1.4'!E28</f>
        <v>1</v>
      </c>
      <c r="I75" s="13">
        <f>'1.5'!E28</f>
        <v>2</v>
      </c>
    </row>
    <row r="76" spans="1:9" ht="16" customHeight="1">
      <c r="A76" s="15" t="s">
        <v>23</v>
      </c>
      <c r="B76" s="16">
        <f t="shared" si="8"/>
        <v>58.3</v>
      </c>
      <c r="C76" s="16">
        <f t="shared" si="9"/>
        <v>12</v>
      </c>
      <c r="D76" s="16">
        <f t="shared" si="10"/>
        <v>7</v>
      </c>
      <c r="E76" s="17">
        <f>'1.1'!F30</f>
        <v>4</v>
      </c>
      <c r="F76" s="13">
        <f>'1.2'!C30</f>
        <v>2</v>
      </c>
      <c r="G76" s="13">
        <f>'1.3'!C30</f>
        <v>0</v>
      </c>
      <c r="H76" s="13">
        <f>'1.4'!E31</f>
        <v>0</v>
      </c>
      <c r="I76" s="13">
        <f>'1.5'!E31</f>
        <v>1</v>
      </c>
    </row>
    <row r="77" spans="1:9" ht="16" customHeight="1">
      <c r="A77" s="15" t="s">
        <v>33</v>
      </c>
      <c r="B77" s="16">
        <f t="shared" si="8"/>
        <v>58.3</v>
      </c>
      <c r="C77" s="16">
        <f t="shared" si="9"/>
        <v>12</v>
      </c>
      <c r="D77" s="16">
        <f t="shared" si="10"/>
        <v>7</v>
      </c>
      <c r="E77" s="17">
        <f>'1.1'!F42</f>
        <v>2</v>
      </c>
      <c r="F77" s="13">
        <f>'1.2'!C42</f>
        <v>2</v>
      </c>
      <c r="G77" s="13">
        <f>'1.3'!C42</f>
        <v>2</v>
      </c>
      <c r="H77" s="13">
        <f>'1.4'!E43</f>
        <v>0</v>
      </c>
      <c r="I77" s="13">
        <f>'1.5'!E43</f>
        <v>1</v>
      </c>
    </row>
    <row r="78" spans="1:9" ht="16" customHeight="1">
      <c r="A78" s="15" t="s">
        <v>65</v>
      </c>
      <c r="B78" s="16">
        <f t="shared" si="8"/>
        <v>58.3</v>
      </c>
      <c r="C78" s="16">
        <f t="shared" si="9"/>
        <v>12</v>
      </c>
      <c r="D78" s="16">
        <f t="shared" si="10"/>
        <v>7</v>
      </c>
      <c r="E78" s="17">
        <f>'1.1'!F78</f>
        <v>0</v>
      </c>
      <c r="F78" s="13">
        <f>'1.2'!C78</f>
        <v>2</v>
      </c>
      <c r="G78" s="13">
        <f>'1.3'!C78</f>
        <v>2</v>
      </c>
      <c r="H78" s="13">
        <f>'1.4'!E79</f>
        <v>1</v>
      </c>
      <c r="I78" s="13">
        <f>'1.5'!E79</f>
        <v>2</v>
      </c>
    </row>
    <row r="79" spans="1:9" ht="16" customHeight="1">
      <c r="A79" s="15" t="s">
        <v>67</v>
      </c>
      <c r="B79" s="16">
        <f t="shared" si="8"/>
        <v>58.3</v>
      </c>
      <c r="C79" s="16">
        <f t="shared" si="9"/>
        <v>12</v>
      </c>
      <c r="D79" s="16">
        <f t="shared" si="10"/>
        <v>7</v>
      </c>
      <c r="E79" s="17">
        <f>'1.1'!F80</f>
        <v>4</v>
      </c>
      <c r="F79" s="13">
        <f>'1.2'!C80</f>
        <v>0</v>
      </c>
      <c r="G79" s="13">
        <f>'1.3'!C80</f>
        <v>2</v>
      </c>
      <c r="H79" s="13">
        <f>'1.4'!E81</f>
        <v>0</v>
      </c>
      <c r="I79" s="13">
        <f>'1.5'!E81</f>
        <v>1</v>
      </c>
    </row>
    <row r="80" spans="1:9" ht="16" customHeight="1">
      <c r="A80" s="15" t="s">
        <v>79</v>
      </c>
      <c r="B80" s="16">
        <f t="shared" si="8"/>
        <v>58.3</v>
      </c>
      <c r="C80" s="16">
        <f t="shared" si="9"/>
        <v>12</v>
      </c>
      <c r="D80" s="16">
        <f t="shared" si="10"/>
        <v>7</v>
      </c>
      <c r="E80" s="17">
        <f>'1.1'!F94</f>
        <v>0</v>
      </c>
      <c r="F80" s="13">
        <f>'1.2'!C94</f>
        <v>2</v>
      </c>
      <c r="G80" s="13">
        <f>'1.3'!C94</f>
        <v>2</v>
      </c>
      <c r="H80" s="13">
        <f>'1.4'!E95</f>
        <v>1</v>
      </c>
      <c r="I80" s="13">
        <f>'1.5'!E95</f>
        <v>2</v>
      </c>
    </row>
    <row r="81" spans="1:9" ht="16" customHeight="1">
      <c r="A81" s="15" t="s">
        <v>80</v>
      </c>
      <c r="B81" s="16">
        <f t="shared" si="8"/>
        <v>58.3</v>
      </c>
      <c r="C81" s="16">
        <f t="shared" si="9"/>
        <v>12</v>
      </c>
      <c r="D81" s="16">
        <f t="shared" si="10"/>
        <v>7</v>
      </c>
      <c r="E81" s="17">
        <f>'1.1'!F95</f>
        <v>0</v>
      </c>
      <c r="F81" s="13">
        <f>'1.2'!C95</f>
        <v>2</v>
      </c>
      <c r="G81" s="13">
        <f>'1.3'!C95</f>
        <v>2</v>
      </c>
      <c r="H81" s="13">
        <f>'1.4'!E96</f>
        <v>1</v>
      </c>
      <c r="I81" s="13">
        <f>'1.5'!E96</f>
        <v>2</v>
      </c>
    </row>
    <row r="82" spans="1:9" ht="16" customHeight="1">
      <c r="A82" s="15" t="s">
        <v>38</v>
      </c>
      <c r="B82" s="16">
        <f t="shared" si="8"/>
        <v>50</v>
      </c>
      <c r="C82" s="16">
        <f t="shared" si="9"/>
        <v>12</v>
      </c>
      <c r="D82" s="16">
        <f t="shared" si="10"/>
        <v>6</v>
      </c>
      <c r="E82" s="17">
        <f>'1.1'!F48</f>
        <v>2</v>
      </c>
      <c r="F82" s="13">
        <f>'1.2'!C48</f>
        <v>2</v>
      </c>
      <c r="G82" s="13">
        <f>'1.3'!C48</f>
        <v>2</v>
      </c>
      <c r="H82" s="13">
        <f>'1.4'!E49</f>
        <v>0</v>
      </c>
      <c r="I82" s="13">
        <f>'1.5'!E49</f>
        <v>0</v>
      </c>
    </row>
    <row r="83" spans="1:9" ht="16" customHeight="1">
      <c r="A83" s="15" t="s">
        <v>40</v>
      </c>
      <c r="B83" s="16">
        <f t="shared" si="8"/>
        <v>50</v>
      </c>
      <c r="C83" s="16">
        <f t="shared" si="9"/>
        <v>12</v>
      </c>
      <c r="D83" s="16">
        <f t="shared" si="10"/>
        <v>6</v>
      </c>
      <c r="E83" s="17">
        <f>'1.1'!F50</f>
        <v>1</v>
      </c>
      <c r="F83" s="13">
        <f>'1.2'!C50</f>
        <v>2</v>
      </c>
      <c r="G83" s="13">
        <f>'1.3'!C50</f>
        <v>2</v>
      </c>
      <c r="H83" s="13">
        <f>'1.4'!E51</f>
        <v>1</v>
      </c>
      <c r="I83" s="13">
        <f>'1.5'!E51</f>
        <v>0</v>
      </c>
    </row>
    <row r="84" spans="1:9" ht="16" customHeight="1">
      <c r="A84" s="18" t="s">
        <v>681</v>
      </c>
      <c r="B84" s="16">
        <f t="shared" si="8"/>
        <v>50</v>
      </c>
      <c r="C84" s="16">
        <f t="shared" si="9"/>
        <v>12</v>
      </c>
      <c r="D84" s="16">
        <f t="shared" si="10"/>
        <v>6</v>
      </c>
      <c r="E84" s="17">
        <f>'1.1'!F51</f>
        <v>4</v>
      </c>
      <c r="F84" s="13">
        <f>'1.2'!C51</f>
        <v>0</v>
      </c>
      <c r="G84" s="13">
        <f>'1.3'!C51</f>
        <v>2</v>
      </c>
      <c r="H84" s="13">
        <f>'1.4'!E52</f>
        <v>0</v>
      </c>
      <c r="I84" s="13">
        <f>'1.5'!E52</f>
        <v>0</v>
      </c>
    </row>
    <row r="85" spans="1:9" ht="16" customHeight="1">
      <c r="A85" s="15" t="s">
        <v>53</v>
      </c>
      <c r="B85" s="16">
        <f t="shared" si="8"/>
        <v>50</v>
      </c>
      <c r="C85" s="16">
        <f t="shared" si="9"/>
        <v>12</v>
      </c>
      <c r="D85" s="16">
        <f t="shared" si="10"/>
        <v>6</v>
      </c>
      <c r="E85" s="17">
        <f>'1.1'!F66</f>
        <v>4</v>
      </c>
      <c r="F85" s="13">
        <f>'1.2'!C66</f>
        <v>0</v>
      </c>
      <c r="G85" s="13">
        <f>'1.3'!C66</f>
        <v>0</v>
      </c>
      <c r="H85" s="13">
        <f>'1.4'!E67</f>
        <v>0</v>
      </c>
      <c r="I85" s="13">
        <f>'1.5'!E67</f>
        <v>2</v>
      </c>
    </row>
    <row r="86" spans="1:9" ht="16" customHeight="1">
      <c r="A86" s="15" t="s">
        <v>37</v>
      </c>
      <c r="B86" s="16">
        <f t="shared" si="8"/>
        <v>41.7</v>
      </c>
      <c r="C86" s="16">
        <f t="shared" si="9"/>
        <v>12</v>
      </c>
      <c r="D86" s="16">
        <f t="shared" si="10"/>
        <v>5</v>
      </c>
      <c r="E86" s="17">
        <f>'1.1'!F47</f>
        <v>0</v>
      </c>
      <c r="F86" s="13">
        <f>'1.2'!C47</f>
        <v>2</v>
      </c>
      <c r="G86" s="13">
        <f>'1.3'!C47</f>
        <v>2</v>
      </c>
      <c r="H86" s="13">
        <f>'1.4'!E48</f>
        <v>0</v>
      </c>
      <c r="I86" s="13">
        <f>'1.5'!E48</f>
        <v>1</v>
      </c>
    </row>
    <row r="87" spans="1:9" ht="16" customHeight="1">
      <c r="A87" s="15" t="s">
        <v>55</v>
      </c>
      <c r="B87" s="16">
        <f t="shared" si="8"/>
        <v>41.7</v>
      </c>
      <c r="C87" s="16">
        <f t="shared" si="9"/>
        <v>12</v>
      </c>
      <c r="D87" s="16">
        <f t="shared" si="10"/>
        <v>5</v>
      </c>
      <c r="E87" s="17">
        <f>'1.1'!F68</f>
        <v>2</v>
      </c>
      <c r="F87" s="13">
        <f>'1.2'!C68</f>
        <v>0</v>
      </c>
      <c r="G87" s="13">
        <f>'1.3'!C68</f>
        <v>2</v>
      </c>
      <c r="H87" s="13">
        <f>'1.4'!E69</f>
        <v>0</v>
      </c>
      <c r="I87" s="13">
        <f>'1.5'!E69</f>
        <v>1</v>
      </c>
    </row>
    <row r="88" spans="1:9" ht="16" customHeight="1">
      <c r="A88" s="15" t="s">
        <v>57</v>
      </c>
      <c r="B88" s="16">
        <f t="shared" si="8"/>
        <v>41.7</v>
      </c>
      <c r="C88" s="16">
        <f t="shared" si="9"/>
        <v>12</v>
      </c>
      <c r="D88" s="16">
        <f t="shared" si="10"/>
        <v>5</v>
      </c>
      <c r="E88" s="17">
        <f>'1.1'!F70</f>
        <v>2</v>
      </c>
      <c r="F88" s="13">
        <f>'1.2'!C70</f>
        <v>0</v>
      </c>
      <c r="G88" s="13">
        <f>'1.3'!C70</f>
        <v>2</v>
      </c>
      <c r="H88" s="13">
        <f>'1.4'!E71</f>
        <v>0</v>
      </c>
      <c r="I88" s="13">
        <f>'1.5'!E71</f>
        <v>1</v>
      </c>
    </row>
    <row r="89" spans="1:9" ht="16" customHeight="1">
      <c r="A89" s="15" t="s">
        <v>421</v>
      </c>
      <c r="B89" s="16">
        <f t="shared" si="8"/>
        <v>40</v>
      </c>
      <c r="C89" s="16">
        <f>$D$5-I69</f>
        <v>10</v>
      </c>
      <c r="D89" s="16">
        <f t="shared" si="10"/>
        <v>4</v>
      </c>
      <c r="E89" s="17">
        <f>'1.1'!F24</f>
        <v>4</v>
      </c>
      <c r="F89" s="13">
        <f>'1.2'!C24</f>
        <v>0</v>
      </c>
      <c r="G89" s="13">
        <f>'1.3'!C24</f>
        <v>0</v>
      </c>
      <c r="H89" s="13">
        <f>'1.4'!E25</f>
        <v>0</v>
      </c>
      <c r="I89" s="13" t="str">
        <f>'1.5'!E25</f>
        <v>- *</v>
      </c>
    </row>
    <row r="90" spans="1:9" ht="16" customHeight="1">
      <c r="A90" s="132" t="s">
        <v>206</v>
      </c>
      <c r="B90" s="16"/>
      <c r="C90" s="16"/>
      <c r="D90" s="16"/>
      <c r="E90" s="17"/>
      <c r="F90" s="13"/>
      <c r="G90" s="13"/>
      <c r="H90" s="13"/>
      <c r="I90" s="13"/>
    </row>
    <row r="91" spans="1:9" ht="16" customHeight="1">
      <c r="A91" s="15" t="s">
        <v>34</v>
      </c>
      <c r="B91" s="16">
        <f>ROUND(D91/C91*100,1)</f>
        <v>33.299999999999997</v>
      </c>
      <c r="C91" s="16">
        <f>$D$5</f>
        <v>12</v>
      </c>
      <c r="D91" s="16">
        <f>SUM(E91:I91)</f>
        <v>4</v>
      </c>
      <c r="E91" s="17">
        <f>'1.1'!F43</f>
        <v>0</v>
      </c>
      <c r="F91" s="13">
        <f>'1.2'!C43</f>
        <v>2</v>
      </c>
      <c r="G91" s="13">
        <f>'1.3'!C43</f>
        <v>2</v>
      </c>
      <c r="H91" s="13">
        <f>'1.4'!E44</f>
        <v>0</v>
      </c>
      <c r="I91" s="13">
        <f>'1.5'!E44</f>
        <v>0</v>
      </c>
    </row>
    <row r="92" spans="1:9" ht="16" customHeight="1">
      <c r="A92" s="15" t="s">
        <v>48</v>
      </c>
      <c r="B92" s="16">
        <f>ROUND(D92/C92*100,1)</f>
        <v>33.299999999999997</v>
      </c>
      <c r="C92" s="16">
        <f>$D$5</f>
        <v>12</v>
      </c>
      <c r="D92" s="16">
        <f>SUM(E92:I92)</f>
        <v>4</v>
      </c>
      <c r="E92" s="17">
        <f>'1.1'!F61</f>
        <v>2</v>
      </c>
      <c r="F92" s="13">
        <f>'1.2'!C61</f>
        <v>0</v>
      </c>
      <c r="G92" s="13">
        <f>'1.3'!C61</f>
        <v>0</v>
      </c>
      <c r="H92" s="13">
        <f>'1.4'!E62</f>
        <v>0</v>
      </c>
      <c r="I92" s="13">
        <f>'1.5'!E62</f>
        <v>2</v>
      </c>
    </row>
    <row r="93" spans="1:9" ht="16" customHeight="1">
      <c r="A93" s="15" t="s">
        <v>45</v>
      </c>
      <c r="B93" s="16">
        <f>ROUND(D93/C93*100,1)</f>
        <v>29.2</v>
      </c>
      <c r="C93" s="16">
        <f>$D$5</f>
        <v>12</v>
      </c>
      <c r="D93" s="16">
        <f>SUM(E93:I93)</f>
        <v>3.5</v>
      </c>
      <c r="E93" s="17">
        <f>'1.1'!F57</f>
        <v>1</v>
      </c>
      <c r="F93" s="13">
        <f>'1.2'!C57</f>
        <v>0</v>
      </c>
      <c r="G93" s="13">
        <f>'1.3'!C57</f>
        <v>2</v>
      </c>
      <c r="H93" s="13">
        <f>'1.4'!E58</f>
        <v>0</v>
      </c>
      <c r="I93" s="13">
        <f>'1.5'!E58</f>
        <v>0.5</v>
      </c>
    </row>
    <row r="94" spans="1:9" ht="16" customHeight="1">
      <c r="A94" s="15" t="s">
        <v>11</v>
      </c>
      <c r="B94" s="16">
        <f>ROUND(D94/C94*100,1)</f>
        <v>20.8</v>
      </c>
      <c r="C94" s="16">
        <f>$D$5</f>
        <v>12</v>
      </c>
      <c r="D94" s="16">
        <f>SUM(E94:I94)</f>
        <v>2.5</v>
      </c>
      <c r="E94" s="17">
        <f>'1.1'!F17</f>
        <v>0</v>
      </c>
      <c r="F94" s="13">
        <f>'1.2'!C17</f>
        <v>0</v>
      </c>
      <c r="G94" s="13">
        <f>'1.3'!C17</f>
        <v>2</v>
      </c>
      <c r="H94" s="13">
        <f>'1.4'!E18</f>
        <v>0</v>
      </c>
      <c r="I94" s="13">
        <f>'1.5'!E18</f>
        <v>0.5</v>
      </c>
    </row>
    <row r="95" spans="1:9" ht="32" customHeight="1">
      <c r="A95" s="229" t="s">
        <v>690</v>
      </c>
      <c r="B95" s="230"/>
      <c r="C95" s="230"/>
      <c r="D95" s="230"/>
      <c r="E95" s="230"/>
      <c r="F95" s="230"/>
      <c r="G95" s="230"/>
      <c r="H95" s="230"/>
      <c r="I95" s="230"/>
    </row>
  </sheetData>
  <sortState xmlns:xlrd2="http://schemas.microsoft.com/office/spreadsheetml/2017/richdata2" ref="A7:I94">
    <sortCondition descending="1" ref="B7:B94"/>
  </sortState>
  <mergeCells count="1">
    <mergeCell ref="A95:I95"/>
  </mergeCells>
  <pageMargins left="0.70866141732283472" right="0.70866141732283472" top="0.74803149606299213" bottom="0.74803149606299213" header="0.31496062992125984" footer="0.31496062992125984"/>
  <pageSetup paperSize="9" scale="66" fitToHeight="0" orientation="landscape" r:id="rId1"/>
  <headerFooter scaleWithDoc="0">
    <oddFooter>&amp;C&amp;"Times New Roman,обычный"&amp;A&amp;R&amp;P</oddFooter>
  </headerFooter>
  <ignoredErrors>
    <ignoredError sqref="C89 C65 C4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9"/>
  <sheetViews>
    <sheetView zoomScaleNormal="100" zoomScalePageLayoutView="80" workbookViewId="0">
      <pane ySplit="4" topLeftCell="A5" activePane="bottomLeft" state="frozen"/>
      <selection activeCell="G33" sqref="G33:G2385"/>
      <selection pane="bottomLeft"/>
    </sheetView>
  </sheetViews>
  <sheetFormatPr baseColWidth="10" defaultColWidth="8.83203125" defaultRowHeight="15"/>
  <cols>
    <col min="1" max="1" width="24.83203125" customWidth="1"/>
    <col min="2" max="2" width="12.83203125" customWidth="1"/>
    <col min="3" max="3" width="12.5" customWidth="1"/>
    <col min="4" max="4" width="9.1640625" customWidth="1"/>
    <col min="5" max="7" width="20.83203125" customWidth="1"/>
    <col min="8" max="9" width="28.83203125" customWidth="1"/>
  </cols>
  <sheetData>
    <row r="1" spans="1:9" ht="25" customHeight="1">
      <c r="A1" s="39" t="s">
        <v>232</v>
      </c>
      <c r="B1" s="40"/>
      <c r="C1" s="40"/>
      <c r="D1" s="40"/>
      <c r="E1" s="40"/>
      <c r="F1" s="40"/>
      <c r="G1" s="40"/>
      <c r="H1" s="40"/>
      <c r="I1" s="40"/>
    </row>
    <row r="2" spans="1:9" ht="15" customHeight="1">
      <c r="A2" s="41" t="s">
        <v>659</v>
      </c>
      <c r="B2" s="42"/>
      <c r="C2" s="42"/>
      <c r="D2" s="42"/>
      <c r="E2" s="42"/>
      <c r="F2" s="42"/>
      <c r="G2" s="42"/>
      <c r="H2" s="42"/>
      <c r="I2" s="42"/>
    </row>
    <row r="3" spans="1:9" ht="131" customHeight="1">
      <c r="A3" s="133" t="s">
        <v>679</v>
      </c>
      <c r="B3" s="134" t="s">
        <v>106</v>
      </c>
      <c r="C3" s="134" t="s">
        <v>104</v>
      </c>
      <c r="D3" s="134" t="s">
        <v>689</v>
      </c>
      <c r="E3" s="137" t="s">
        <v>229</v>
      </c>
      <c r="F3" s="137" t="s">
        <v>230</v>
      </c>
      <c r="G3" s="137" t="s">
        <v>231</v>
      </c>
      <c r="H3" s="137" t="s">
        <v>373</v>
      </c>
      <c r="I3" s="133" t="s">
        <v>374</v>
      </c>
    </row>
    <row r="4" spans="1:9" ht="16" customHeight="1">
      <c r="A4" s="37" t="s">
        <v>84</v>
      </c>
      <c r="B4" s="11" t="s">
        <v>105</v>
      </c>
      <c r="C4" s="11" t="s">
        <v>85</v>
      </c>
      <c r="D4" s="11" t="s">
        <v>85</v>
      </c>
      <c r="E4" s="10" t="s">
        <v>85</v>
      </c>
      <c r="F4" s="12" t="s">
        <v>85</v>
      </c>
      <c r="G4" s="12" t="s">
        <v>85</v>
      </c>
      <c r="H4" s="12" t="s">
        <v>85</v>
      </c>
      <c r="I4" s="12" t="s">
        <v>85</v>
      </c>
    </row>
    <row r="5" spans="1:9" s="9" customFormat="1" ht="15" customHeight="1">
      <c r="A5" s="38" t="s">
        <v>104</v>
      </c>
      <c r="B5" s="19"/>
      <c r="C5" s="19"/>
      <c r="D5" s="20">
        <f>SUM(E5:I5)</f>
        <v>12</v>
      </c>
      <c r="E5" s="21">
        <v>4</v>
      </c>
      <c r="F5" s="22">
        <v>2</v>
      </c>
      <c r="G5" s="22">
        <v>2</v>
      </c>
      <c r="H5" s="22">
        <v>2</v>
      </c>
      <c r="I5" s="22">
        <v>2</v>
      </c>
    </row>
    <row r="6" spans="1:9" ht="16" customHeight="1">
      <c r="A6" s="227" t="s">
        <v>0</v>
      </c>
      <c r="B6" s="23"/>
      <c r="C6" s="23"/>
      <c r="D6" s="24"/>
      <c r="E6" s="24"/>
      <c r="F6" s="25"/>
      <c r="G6" s="25"/>
      <c r="H6" s="25"/>
      <c r="I6" s="25"/>
    </row>
    <row r="7" spans="1:9" ht="16" customHeight="1">
      <c r="A7" s="228" t="s">
        <v>1</v>
      </c>
      <c r="B7" s="16">
        <f>ROUND(D7/C7*100,1)</f>
        <v>75</v>
      </c>
      <c r="C7" s="16">
        <f>$D$5</f>
        <v>12</v>
      </c>
      <c r="D7" s="16">
        <f>SUM(E7:I7)</f>
        <v>9</v>
      </c>
      <c r="E7" s="17">
        <f>'1.1'!F7</f>
        <v>4</v>
      </c>
      <c r="F7" s="13">
        <f>'1.2'!C7</f>
        <v>2</v>
      </c>
      <c r="G7" s="13">
        <f>'1.3'!C7</f>
        <v>2</v>
      </c>
      <c r="H7" s="13">
        <f>'1.4'!E8</f>
        <v>0</v>
      </c>
      <c r="I7" s="13">
        <f>'1.5'!E8</f>
        <v>1</v>
      </c>
    </row>
    <row r="8" spans="1:9" ht="16" customHeight="1">
      <c r="A8" s="228" t="s">
        <v>2</v>
      </c>
      <c r="B8" s="16">
        <f t="shared" ref="B8:B71" si="0">ROUND(D8/C8*100,1)</f>
        <v>91.7</v>
      </c>
      <c r="C8" s="16">
        <f>$D$5</f>
        <v>12</v>
      </c>
      <c r="D8" s="16">
        <f>SUM(E8:I8)</f>
        <v>11</v>
      </c>
      <c r="E8" s="17">
        <f>'1.1'!F8</f>
        <v>4</v>
      </c>
      <c r="F8" s="13">
        <f>'1.2'!C8</f>
        <v>2</v>
      </c>
      <c r="G8" s="13">
        <f>'1.3'!C8</f>
        <v>2</v>
      </c>
      <c r="H8" s="13">
        <f>'1.4'!E9</f>
        <v>1</v>
      </c>
      <c r="I8" s="13">
        <f>'1.5'!E9</f>
        <v>2</v>
      </c>
    </row>
    <row r="9" spans="1:9" ht="16" customHeight="1">
      <c r="A9" s="228" t="s">
        <v>3</v>
      </c>
      <c r="B9" s="16">
        <f t="shared" si="0"/>
        <v>100</v>
      </c>
      <c r="C9" s="16">
        <f t="shared" ref="C9:C72" si="1">$D$5</f>
        <v>12</v>
      </c>
      <c r="D9" s="16">
        <f t="shared" ref="D9:D24" si="2">SUM(E9:I9)</f>
        <v>12</v>
      </c>
      <c r="E9" s="17">
        <f>'1.1'!F9</f>
        <v>4</v>
      </c>
      <c r="F9" s="13">
        <f>'1.2'!C9</f>
        <v>2</v>
      </c>
      <c r="G9" s="13">
        <f>'1.3'!C9</f>
        <v>2</v>
      </c>
      <c r="H9" s="13">
        <f>'1.4'!E10</f>
        <v>2</v>
      </c>
      <c r="I9" s="13">
        <f>'1.5'!E10</f>
        <v>2</v>
      </c>
    </row>
    <row r="10" spans="1:9" ht="16" customHeight="1">
      <c r="A10" s="228" t="s">
        <v>4</v>
      </c>
      <c r="B10" s="16">
        <f t="shared" si="0"/>
        <v>91.7</v>
      </c>
      <c r="C10" s="16">
        <f t="shared" si="1"/>
        <v>12</v>
      </c>
      <c r="D10" s="16">
        <f t="shared" si="2"/>
        <v>11</v>
      </c>
      <c r="E10" s="17">
        <f>'1.1'!F10</f>
        <v>4</v>
      </c>
      <c r="F10" s="13">
        <f>'1.2'!C10</f>
        <v>2</v>
      </c>
      <c r="G10" s="13">
        <f>'1.3'!C10</f>
        <v>2</v>
      </c>
      <c r="H10" s="13">
        <f>'1.4'!E11</f>
        <v>1</v>
      </c>
      <c r="I10" s="13">
        <f>'1.5'!E11</f>
        <v>2</v>
      </c>
    </row>
    <row r="11" spans="1:9" ht="16" customHeight="1">
      <c r="A11" s="228" t="s">
        <v>5</v>
      </c>
      <c r="B11" s="16">
        <f t="shared" si="0"/>
        <v>91.7</v>
      </c>
      <c r="C11" s="16">
        <f t="shared" si="1"/>
        <v>12</v>
      </c>
      <c r="D11" s="16">
        <f t="shared" si="2"/>
        <v>11</v>
      </c>
      <c r="E11" s="17">
        <f>'1.1'!F11</f>
        <v>4</v>
      </c>
      <c r="F11" s="13">
        <f>'1.2'!C11</f>
        <v>2</v>
      </c>
      <c r="G11" s="13">
        <f>'1.3'!C11</f>
        <v>2</v>
      </c>
      <c r="H11" s="13">
        <f>'1.4'!E12</f>
        <v>2</v>
      </c>
      <c r="I11" s="13">
        <f>'1.5'!E12</f>
        <v>1</v>
      </c>
    </row>
    <row r="12" spans="1:9" ht="16" customHeight="1">
      <c r="A12" s="228" t="s">
        <v>6</v>
      </c>
      <c r="B12" s="16">
        <f t="shared" si="0"/>
        <v>100</v>
      </c>
      <c r="C12" s="16">
        <f t="shared" si="1"/>
        <v>12</v>
      </c>
      <c r="D12" s="16">
        <f t="shared" si="2"/>
        <v>12</v>
      </c>
      <c r="E12" s="17">
        <f>'1.1'!F12</f>
        <v>4</v>
      </c>
      <c r="F12" s="13">
        <f>'1.2'!C12</f>
        <v>2</v>
      </c>
      <c r="G12" s="13">
        <f>'1.3'!C12</f>
        <v>2</v>
      </c>
      <c r="H12" s="13">
        <f>'1.4'!E13</f>
        <v>2</v>
      </c>
      <c r="I12" s="13">
        <f>'1.5'!E13</f>
        <v>2</v>
      </c>
    </row>
    <row r="13" spans="1:9" ht="16" customHeight="1">
      <c r="A13" s="228" t="s">
        <v>7</v>
      </c>
      <c r="B13" s="16">
        <f t="shared" si="0"/>
        <v>91.7</v>
      </c>
      <c r="C13" s="16">
        <f t="shared" si="1"/>
        <v>12</v>
      </c>
      <c r="D13" s="16">
        <f t="shared" si="2"/>
        <v>11</v>
      </c>
      <c r="E13" s="17">
        <f>'1.1'!F13</f>
        <v>4</v>
      </c>
      <c r="F13" s="13">
        <f>'1.2'!C13</f>
        <v>2</v>
      </c>
      <c r="G13" s="13">
        <f>'1.3'!C13</f>
        <v>2</v>
      </c>
      <c r="H13" s="13">
        <f>'1.4'!E14</f>
        <v>1</v>
      </c>
      <c r="I13" s="13">
        <f>'1.5'!E14</f>
        <v>2</v>
      </c>
    </row>
    <row r="14" spans="1:9" s="7" customFormat="1" ht="16" customHeight="1">
      <c r="A14" s="228" t="s">
        <v>8</v>
      </c>
      <c r="B14" s="16">
        <f t="shared" si="0"/>
        <v>100</v>
      </c>
      <c r="C14" s="16">
        <f t="shared" si="1"/>
        <v>12</v>
      </c>
      <c r="D14" s="16">
        <f t="shared" si="2"/>
        <v>12</v>
      </c>
      <c r="E14" s="17">
        <f>'1.1'!F14</f>
        <v>4</v>
      </c>
      <c r="F14" s="13">
        <f>'1.2'!C14</f>
        <v>2</v>
      </c>
      <c r="G14" s="13">
        <f>'1.3'!C14</f>
        <v>2</v>
      </c>
      <c r="H14" s="13">
        <f>'1.4'!E15</f>
        <v>2</v>
      </c>
      <c r="I14" s="13">
        <f>'1.5'!E15</f>
        <v>2</v>
      </c>
    </row>
    <row r="15" spans="1:9" ht="16" customHeight="1">
      <c r="A15" s="228" t="s">
        <v>9</v>
      </c>
      <c r="B15" s="16">
        <f t="shared" si="0"/>
        <v>91.7</v>
      </c>
      <c r="C15" s="16">
        <f t="shared" si="1"/>
        <v>12</v>
      </c>
      <c r="D15" s="16">
        <f t="shared" si="2"/>
        <v>11</v>
      </c>
      <c r="E15" s="17">
        <f>'1.1'!F15</f>
        <v>4</v>
      </c>
      <c r="F15" s="13">
        <f>'1.2'!C15</f>
        <v>2</v>
      </c>
      <c r="G15" s="13">
        <f>'1.3'!C15</f>
        <v>2</v>
      </c>
      <c r="H15" s="13">
        <f>'1.4'!E16</f>
        <v>1</v>
      </c>
      <c r="I15" s="13">
        <f>'1.5'!E16</f>
        <v>2</v>
      </c>
    </row>
    <row r="16" spans="1:9" ht="16" customHeight="1">
      <c r="A16" s="228" t="s">
        <v>10</v>
      </c>
      <c r="B16" s="16">
        <f t="shared" si="0"/>
        <v>91.7</v>
      </c>
      <c r="C16" s="16">
        <f t="shared" si="1"/>
        <v>12</v>
      </c>
      <c r="D16" s="16">
        <f t="shared" si="2"/>
        <v>11</v>
      </c>
      <c r="E16" s="17">
        <f>'1.1'!F16</f>
        <v>4</v>
      </c>
      <c r="F16" s="13">
        <f>'1.2'!C16</f>
        <v>2</v>
      </c>
      <c r="G16" s="13">
        <f>'1.3'!C16</f>
        <v>2</v>
      </c>
      <c r="H16" s="13">
        <f>'1.4'!E17</f>
        <v>1</v>
      </c>
      <c r="I16" s="13">
        <f>'1.5'!E17</f>
        <v>2</v>
      </c>
    </row>
    <row r="17" spans="1:9" ht="16" customHeight="1">
      <c r="A17" s="228" t="s">
        <v>11</v>
      </c>
      <c r="B17" s="16">
        <f t="shared" si="0"/>
        <v>20.8</v>
      </c>
      <c r="C17" s="16">
        <f t="shared" si="1"/>
        <v>12</v>
      </c>
      <c r="D17" s="16">
        <f t="shared" si="2"/>
        <v>2.5</v>
      </c>
      <c r="E17" s="17">
        <f>'1.1'!F17</f>
        <v>0</v>
      </c>
      <c r="F17" s="13">
        <f>'1.2'!C17</f>
        <v>0</v>
      </c>
      <c r="G17" s="13">
        <f>'1.3'!C17</f>
        <v>2</v>
      </c>
      <c r="H17" s="13">
        <f>'1.4'!E18</f>
        <v>0</v>
      </c>
      <c r="I17" s="13">
        <f>'1.5'!E18</f>
        <v>0.5</v>
      </c>
    </row>
    <row r="18" spans="1:9" s="7" customFormat="1" ht="16" customHeight="1">
      <c r="A18" s="228" t="s">
        <v>12</v>
      </c>
      <c r="B18" s="16">
        <f t="shared" si="0"/>
        <v>66.7</v>
      </c>
      <c r="C18" s="16">
        <f t="shared" si="1"/>
        <v>12</v>
      </c>
      <c r="D18" s="16">
        <f t="shared" si="2"/>
        <v>8</v>
      </c>
      <c r="E18" s="17">
        <f>'1.1'!F18</f>
        <v>4</v>
      </c>
      <c r="F18" s="13">
        <f>'1.2'!C18</f>
        <v>2</v>
      </c>
      <c r="G18" s="13">
        <f>'1.3'!C18</f>
        <v>2</v>
      </c>
      <c r="H18" s="13">
        <f>'1.4'!E19</f>
        <v>0</v>
      </c>
      <c r="I18" s="13">
        <f>'1.5'!E19</f>
        <v>0</v>
      </c>
    </row>
    <row r="19" spans="1:9" ht="16" customHeight="1">
      <c r="A19" s="228" t="s">
        <v>13</v>
      </c>
      <c r="B19" s="16">
        <f t="shared" si="0"/>
        <v>66.7</v>
      </c>
      <c r="C19" s="16">
        <f t="shared" si="1"/>
        <v>12</v>
      </c>
      <c r="D19" s="16">
        <f t="shared" si="2"/>
        <v>8</v>
      </c>
      <c r="E19" s="17">
        <f>'1.1'!F19</f>
        <v>2</v>
      </c>
      <c r="F19" s="13">
        <f>'1.2'!C19</f>
        <v>2</v>
      </c>
      <c r="G19" s="13">
        <f>'1.3'!C19</f>
        <v>2</v>
      </c>
      <c r="H19" s="13">
        <f>'1.4'!E20</f>
        <v>2</v>
      </c>
      <c r="I19" s="13">
        <f>'1.5'!E20</f>
        <v>0</v>
      </c>
    </row>
    <row r="20" spans="1:9" ht="16" customHeight="1">
      <c r="A20" s="228" t="s">
        <v>14</v>
      </c>
      <c r="B20" s="16">
        <f t="shared" si="0"/>
        <v>83.3</v>
      </c>
      <c r="C20" s="16">
        <f t="shared" si="1"/>
        <v>12</v>
      </c>
      <c r="D20" s="16">
        <f t="shared" si="2"/>
        <v>10</v>
      </c>
      <c r="E20" s="17">
        <f>'1.1'!F20</f>
        <v>4</v>
      </c>
      <c r="F20" s="13">
        <f>'1.2'!C20</f>
        <v>2</v>
      </c>
      <c r="G20" s="13">
        <f>'1.3'!C20</f>
        <v>2</v>
      </c>
      <c r="H20" s="13">
        <f>'1.4'!E21</f>
        <v>1</v>
      </c>
      <c r="I20" s="13">
        <f>'1.5'!E21</f>
        <v>1</v>
      </c>
    </row>
    <row r="21" spans="1:9" ht="16" customHeight="1">
      <c r="A21" s="228" t="s">
        <v>15</v>
      </c>
      <c r="B21" s="16">
        <f t="shared" si="0"/>
        <v>75</v>
      </c>
      <c r="C21" s="16">
        <f t="shared" si="1"/>
        <v>12</v>
      </c>
      <c r="D21" s="16">
        <f t="shared" si="2"/>
        <v>9</v>
      </c>
      <c r="E21" s="17">
        <f>'1.1'!F21</f>
        <v>2</v>
      </c>
      <c r="F21" s="13">
        <f>'1.2'!C21</f>
        <v>2</v>
      </c>
      <c r="G21" s="13">
        <f>'1.3'!C21</f>
        <v>2</v>
      </c>
      <c r="H21" s="13">
        <f>'1.4'!E22</f>
        <v>2</v>
      </c>
      <c r="I21" s="13">
        <f>'1.5'!E22</f>
        <v>1</v>
      </c>
    </row>
    <row r="22" spans="1:9" ht="16" customHeight="1">
      <c r="A22" s="228" t="s">
        <v>16</v>
      </c>
      <c r="B22" s="16">
        <f t="shared" si="0"/>
        <v>91.7</v>
      </c>
      <c r="C22" s="16">
        <f t="shared" si="1"/>
        <v>12</v>
      </c>
      <c r="D22" s="16">
        <f t="shared" si="2"/>
        <v>11</v>
      </c>
      <c r="E22" s="17">
        <f>'1.1'!F22</f>
        <v>4</v>
      </c>
      <c r="F22" s="13">
        <f>'1.2'!C22</f>
        <v>2</v>
      </c>
      <c r="G22" s="13">
        <f>'1.3'!C22</f>
        <v>2</v>
      </c>
      <c r="H22" s="13">
        <f>'1.4'!E23</f>
        <v>2</v>
      </c>
      <c r="I22" s="13">
        <f>'1.5'!E23</f>
        <v>1</v>
      </c>
    </row>
    <row r="23" spans="1:9" ht="16" customHeight="1">
      <c r="A23" s="228" t="s">
        <v>17</v>
      </c>
      <c r="B23" s="16">
        <f t="shared" si="0"/>
        <v>75</v>
      </c>
      <c r="C23" s="16">
        <f t="shared" si="1"/>
        <v>12</v>
      </c>
      <c r="D23" s="16">
        <f t="shared" si="2"/>
        <v>9</v>
      </c>
      <c r="E23" s="17">
        <f>'1.1'!F23</f>
        <v>4</v>
      </c>
      <c r="F23" s="13">
        <f>'1.2'!C23</f>
        <v>2</v>
      </c>
      <c r="G23" s="13">
        <f>'1.3'!C23</f>
        <v>0</v>
      </c>
      <c r="H23" s="13">
        <f>'1.4'!E24</f>
        <v>1</v>
      </c>
      <c r="I23" s="13">
        <f>'1.5'!E24</f>
        <v>2</v>
      </c>
    </row>
    <row r="24" spans="1:9" ht="16" customHeight="1">
      <c r="A24" s="228" t="s">
        <v>422</v>
      </c>
      <c r="B24" s="16">
        <f t="shared" si="0"/>
        <v>40</v>
      </c>
      <c r="C24" s="16">
        <f>$D$5-I5</f>
        <v>10</v>
      </c>
      <c r="D24" s="16">
        <f t="shared" si="2"/>
        <v>4</v>
      </c>
      <c r="E24" s="17">
        <f>'1.1'!F24</f>
        <v>4</v>
      </c>
      <c r="F24" s="13">
        <f>'1.2'!C24</f>
        <v>0</v>
      </c>
      <c r="G24" s="13">
        <f>'1.3'!C24</f>
        <v>0</v>
      </c>
      <c r="H24" s="13">
        <f>'1.4'!E25</f>
        <v>0</v>
      </c>
      <c r="I24" s="13" t="str">
        <f>'1.5'!E25</f>
        <v>- *</v>
      </c>
    </row>
    <row r="25" spans="1:9" ht="16" customHeight="1">
      <c r="A25" s="227" t="s">
        <v>18</v>
      </c>
      <c r="B25" s="26"/>
      <c r="C25" s="26"/>
      <c r="D25" s="26"/>
      <c r="E25" s="27"/>
      <c r="F25" s="28"/>
      <c r="G25" s="28"/>
      <c r="H25" s="28"/>
      <c r="I25" s="28"/>
    </row>
    <row r="26" spans="1:9" s="7" customFormat="1" ht="16" customHeight="1">
      <c r="A26" s="228" t="s">
        <v>19</v>
      </c>
      <c r="B26" s="16">
        <f t="shared" si="0"/>
        <v>91.7</v>
      </c>
      <c r="C26" s="16">
        <f t="shared" si="1"/>
        <v>12</v>
      </c>
      <c r="D26" s="16">
        <f t="shared" ref="D26:D36" si="3">SUM(E26:I26)</f>
        <v>11</v>
      </c>
      <c r="E26" s="17">
        <f>'1.1'!F26</f>
        <v>4</v>
      </c>
      <c r="F26" s="13">
        <f>'1.2'!C26</f>
        <v>2</v>
      </c>
      <c r="G26" s="13">
        <f>'1.3'!C26</f>
        <v>2</v>
      </c>
      <c r="H26" s="13">
        <f>'1.4'!E27</f>
        <v>1</v>
      </c>
      <c r="I26" s="13">
        <f>'1.5'!E27</f>
        <v>2</v>
      </c>
    </row>
    <row r="27" spans="1:9" ht="16" customHeight="1">
      <c r="A27" s="228" t="s">
        <v>20</v>
      </c>
      <c r="B27" s="16">
        <f t="shared" si="0"/>
        <v>58.3</v>
      </c>
      <c r="C27" s="16">
        <f t="shared" si="1"/>
        <v>12</v>
      </c>
      <c r="D27" s="16">
        <f t="shared" si="3"/>
        <v>7</v>
      </c>
      <c r="E27" s="17">
        <f>'1.1'!F27</f>
        <v>4</v>
      </c>
      <c r="F27" s="13">
        <f>'1.2'!C27</f>
        <v>0</v>
      </c>
      <c r="G27" s="13">
        <f>'1.3'!C27</f>
        <v>0</v>
      </c>
      <c r="H27" s="13">
        <f>'1.4'!E28</f>
        <v>1</v>
      </c>
      <c r="I27" s="13">
        <f>'1.5'!E28</f>
        <v>2</v>
      </c>
    </row>
    <row r="28" spans="1:9" ht="16" customHeight="1">
      <c r="A28" s="228" t="s">
        <v>21</v>
      </c>
      <c r="B28" s="16">
        <f t="shared" si="0"/>
        <v>83.3</v>
      </c>
      <c r="C28" s="16">
        <f t="shared" si="1"/>
        <v>12</v>
      </c>
      <c r="D28" s="16">
        <f t="shared" si="3"/>
        <v>10</v>
      </c>
      <c r="E28" s="17">
        <f>'1.1'!F28</f>
        <v>4</v>
      </c>
      <c r="F28" s="13">
        <f>'1.2'!C28</f>
        <v>2</v>
      </c>
      <c r="G28" s="13">
        <f>'1.3'!C28</f>
        <v>2</v>
      </c>
      <c r="H28" s="13">
        <f>'1.4'!E29</f>
        <v>1</v>
      </c>
      <c r="I28" s="13">
        <f>'1.5'!E29</f>
        <v>1</v>
      </c>
    </row>
    <row r="29" spans="1:9" ht="16" customHeight="1">
      <c r="A29" s="228" t="s">
        <v>22</v>
      </c>
      <c r="B29" s="16">
        <f t="shared" si="0"/>
        <v>91.7</v>
      </c>
      <c r="C29" s="16">
        <f t="shared" si="1"/>
        <v>12</v>
      </c>
      <c r="D29" s="16">
        <f t="shared" si="3"/>
        <v>11</v>
      </c>
      <c r="E29" s="17">
        <f>'1.1'!F29</f>
        <v>4</v>
      </c>
      <c r="F29" s="13">
        <f>'1.2'!C29</f>
        <v>2</v>
      </c>
      <c r="G29" s="13">
        <f>'1.3'!C29</f>
        <v>2</v>
      </c>
      <c r="H29" s="13">
        <f>'1.4'!E30</f>
        <v>1</v>
      </c>
      <c r="I29" s="13">
        <f>'1.5'!E30</f>
        <v>2</v>
      </c>
    </row>
    <row r="30" spans="1:9" ht="16" customHeight="1">
      <c r="A30" s="228" t="s">
        <v>23</v>
      </c>
      <c r="B30" s="16">
        <f t="shared" si="0"/>
        <v>58.3</v>
      </c>
      <c r="C30" s="16">
        <f t="shared" si="1"/>
        <v>12</v>
      </c>
      <c r="D30" s="16">
        <f t="shared" si="3"/>
        <v>7</v>
      </c>
      <c r="E30" s="17">
        <f>'1.1'!F30</f>
        <v>4</v>
      </c>
      <c r="F30" s="13">
        <f>'1.2'!C30</f>
        <v>2</v>
      </c>
      <c r="G30" s="13">
        <f>'1.3'!C30</f>
        <v>0</v>
      </c>
      <c r="H30" s="13">
        <f>'1.4'!E31</f>
        <v>0</v>
      </c>
      <c r="I30" s="13">
        <f>'1.5'!E31</f>
        <v>1</v>
      </c>
    </row>
    <row r="31" spans="1:9" ht="16" customHeight="1">
      <c r="A31" s="228" t="s">
        <v>24</v>
      </c>
      <c r="B31" s="16">
        <f t="shared" si="0"/>
        <v>66.7</v>
      </c>
      <c r="C31" s="16">
        <f t="shared" si="1"/>
        <v>12</v>
      </c>
      <c r="D31" s="16">
        <f t="shared" si="3"/>
        <v>8</v>
      </c>
      <c r="E31" s="17">
        <f>'1.1'!F31</f>
        <v>4</v>
      </c>
      <c r="F31" s="13">
        <f>'1.2'!C31</f>
        <v>2</v>
      </c>
      <c r="G31" s="13">
        <f>'1.3'!C31</f>
        <v>2</v>
      </c>
      <c r="H31" s="13">
        <f>'1.4'!E32</f>
        <v>0</v>
      </c>
      <c r="I31" s="13">
        <f>'1.5'!E32</f>
        <v>0</v>
      </c>
    </row>
    <row r="32" spans="1:9" s="7" customFormat="1" ht="16" customHeight="1">
      <c r="A32" s="228" t="s">
        <v>25</v>
      </c>
      <c r="B32" s="16">
        <f t="shared" si="0"/>
        <v>83.3</v>
      </c>
      <c r="C32" s="16">
        <f t="shared" si="1"/>
        <v>12</v>
      </c>
      <c r="D32" s="16">
        <f t="shared" si="3"/>
        <v>10</v>
      </c>
      <c r="E32" s="17">
        <f>'1.1'!F32</f>
        <v>4</v>
      </c>
      <c r="F32" s="13">
        <f>'1.2'!C32</f>
        <v>2</v>
      </c>
      <c r="G32" s="13">
        <f>'1.3'!C32</f>
        <v>2</v>
      </c>
      <c r="H32" s="13">
        <f>'1.4'!E33</f>
        <v>1</v>
      </c>
      <c r="I32" s="13">
        <f>'1.5'!E33</f>
        <v>1</v>
      </c>
    </row>
    <row r="33" spans="1:9" s="7" customFormat="1" ht="16" customHeight="1">
      <c r="A33" s="228" t="s">
        <v>26</v>
      </c>
      <c r="B33" s="16">
        <f t="shared" si="0"/>
        <v>75</v>
      </c>
      <c r="C33" s="16">
        <f t="shared" si="1"/>
        <v>12</v>
      </c>
      <c r="D33" s="16">
        <f t="shared" si="3"/>
        <v>9</v>
      </c>
      <c r="E33" s="17">
        <f>'1.1'!F33</f>
        <v>4</v>
      </c>
      <c r="F33" s="13">
        <f>'1.2'!C33</f>
        <v>0</v>
      </c>
      <c r="G33" s="13">
        <f>'1.3'!C33</f>
        <v>2</v>
      </c>
      <c r="H33" s="13">
        <f>'1.4'!E34</f>
        <v>1</v>
      </c>
      <c r="I33" s="13">
        <f>'1.5'!E34</f>
        <v>2</v>
      </c>
    </row>
    <row r="34" spans="1:9" ht="16" customHeight="1">
      <c r="A34" s="228" t="s">
        <v>27</v>
      </c>
      <c r="B34" s="16">
        <f t="shared" si="0"/>
        <v>66.7</v>
      </c>
      <c r="C34" s="16">
        <f t="shared" si="1"/>
        <v>12</v>
      </c>
      <c r="D34" s="16">
        <f>SUM(E34:I34)</f>
        <v>8</v>
      </c>
      <c r="E34" s="17">
        <f>'1.1'!F34</f>
        <v>0</v>
      </c>
      <c r="F34" s="13">
        <f>'1.2'!C34</f>
        <v>2</v>
      </c>
      <c r="G34" s="13">
        <f>'1.3'!C34</f>
        <v>2</v>
      </c>
      <c r="H34" s="13">
        <f>'1.4'!E35</f>
        <v>2</v>
      </c>
      <c r="I34" s="13">
        <f>'1.5'!E35</f>
        <v>2</v>
      </c>
    </row>
    <row r="35" spans="1:9" ht="16" customHeight="1">
      <c r="A35" s="228" t="s">
        <v>680</v>
      </c>
      <c r="B35" s="16">
        <f t="shared" si="0"/>
        <v>90</v>
      </c>
      <c r="C35" s="16">
        <f>$D$5-I5</f>
        <v>10</v>
      </c>
      <c r="D35" s="16">
        <f t="shared" si="3"/>
        <v>9</v>
      </c>
      <c r="E35" s="17">
        <f>'1.1'!F35</f>
        <v>4</v>
      </c>
      <c r="F35" s="13">
        <f>'1.2'!C35</f>
        <v>2</v>
      </c>
      <c r="G35" s="13">
        <f>'1.3'!C35</f>
        <v>2</v>
      </c>
      <c r="H35" s="13">
        <f>'1.4'!E36</f>
        <v>1</v>
      </c>
      <c r="I35" s="13" t="str">
        <f>'1.5'!E36</f>
        <v>- *</v>
      </c>
    </row>
    <row r="36" spans="1:9" ht="16" customHeight="1">
      <c r="A36" s="228" t="s">
        <v>28</v>
      </c>
      <c r="B36" s="16">
        <f t="shared" si="0"/>
        <v>100</v>
      </c>
      <c r="C36" s="16">
        <f t="shared" si="1"/>
        <v>12</v>
      </c>
      <c r="D36" s="16">
        <f t="shared" si="3"/>
        <v>12</v>
      </c>
      <c r="E36" s="17">
        <f>'1.1'!F36</f>
        <v>4</v>
      </c>
      <c r="F36" s="13">
        <f>'1.2'!C36</f>
        <v>2</v>
      </c>
      <c r="G36" s="13">
        <f>'1.3'!C36</f>
        <v>2</v>
      </c>
      <c r="H36" s="13">
        <f>'1.4'!E37</f>
        <v>2</v>
      </c>
      <c r="I36" s="13">
        <f>'1.5'!E37</f>
        <v>2</v>
      </c>
    </row>
    <row r="37" spans="1:9" ht="16" customHeight="1">
      <c r="A37" s="227" t="s">
        <v>29</v>
      </c>
      <c r="B37" s="26"/>
      <c r="C37" s="26"/>
      <c r="D37" s="26"/>
      <c r="E37" s="27"/>
      <c r="F37" s="28"/>
      <c r="G37" s="28"/>
      <c r="H37" s="28"/>
      <c r="I37" s="28"/>
    </row>
    <row r="38" spans="1:9" ht="16" customHeight="1">
      <c r="A38" s="228" t="s">
        <v>30</v>
      </c>
      <c r="B38" s="16">
        <f t="shared" si="0"/>
        <v>83.3</v>
      </c>
      <c r="C38" s="16">
        <f t="shared" si="1"/>
        <v>12</v>
      </c>
      <c r="D38" s="16">
        <f t="shared" ref="D38:D45" si="4">SUM(E38:I38)</f>
        <v>10</v>
      </c>
      <c r="E38" s="17">
        <f>'1.1'!F38</f>
        <v>4</v>
      </c>
      <c r="F38" s="13">
        <f>'1.2'!C38</f>
        <v>2</v>
      </c>
      <c r="G38" s="13">
        <f>'1.3'!C38</f>
        <v>2</v>
      </c>
      <c r="H38" s="13">
        <f>'1.4'!E39</f>
        <v>0</v>
      </c>
      <c r="I38" s="13">
        <f>'1.5'!E39</f>
        <v>2</v>
      </c>
    </row>
    <row r="39" spans="1:9" ht="16" customHeight="1">
      <c r="A39" s="228" t="s">
        <v>31</v>
      </c>
      <c r="B39" s="16">
        <f t="shared" si="0"/>
        <v>91.7</v>
      </c>
      <c r="C39" s="16">
        <f t="shared" si="1"/>
        <v>12</v>
      </c>
      <c r="D39" s="16">
        <f t="shared" si="4"/>
        <v>11</v>
      </c>
      <c r="E39" s="17">
        <f>'1.1'!F39</f>
        <v>4</v>
      </c>
      <c r="F39" s="13">
        <f>'1.2'!C39</f>
        <v>2</v>
      </c>
      <c r="G39" s="13">
        <f>'1.3'!C39</f>
        <v>2</v>
      </c>
      <c r="H39" s="13">
        <f>'1.4'!E40</f>
        <v>1</v>
      </c>
      <c r="I39" s="13">
        <f>'1.5'!E40</f>
        <v>2</v>
      </c>
    </row>
    <row r="40" spans="1:9" ht="16" customHeight="1">
      <c r="A40" s="228" t="s">
        <v>89</v>
      </c>
      <c r="B40" s="16">
        <f t="shared" si="0"/>
        <v>91.7</v>
      </c>
      <c r="C40" s="16">
        <f t="shared" si="1"/>
        <v>12</v>
      </c>
      <c r="D40" s="16">
        <f t="shared" si="4"/>
        <v>11</v>
      </c>
      <c r="E40" s="17">
        <f>'1.1'!F40</f>
        <v>4</v>
      </c>
      <c r="F40" s="13">
        <f>'1.2'!C40</f>
        <v>2</v>
      </c>
      <c r="G40" s="13">
        <f>'1.3'!C40</f>
        <v>2</v>
      </c>
      <c r="H40" s="13">
        <f>'1.4'!E41</f>
        <v>1</v>
      </c>
      <c r="I40" s="13">
        <f>'1.5'!E41</f>
        <v>2</v>
      </c>
    </row>
    <row r="41" spans="1:9" s="7" customFormat="1" ht="16" customHeight="1">
      <c r="A41" s="228" t="s">
        <v>32</v>
      </c>
      <c r="B41" s="16">
        <f t="shared" si="0"/>
        <v>100</v>
      </c>
      <c r="C41" s="16">
        <f t="shared" si="1"/>
        <v>12</v>
      </c>
      <c r="D41" s="16">
        <f t="shared" si="4"/>
        <v>12</v>
      </c>
      <c r="E41" s="17">
        <f>'1.1'!F41</f>
        <v>4</v>
      </c>
      <c r="F41" s="13">
        <f>'1.2'!C41</f>
        <v>2</v>
      </c>
      <c r="G41" s="13">
        <f>'1.3'!C41</f>
        <v>2</v>
      </c>
      <c r="H41" s="13">
        <f>'1.4'!E42</f>
        <v>2</v>
      </c>
      <c r="I41" s="13">
        <f>'1.5'!E42</f>
        <v>2</v>
      </c>
    </row>
    <row r="42" spans="1:9" ht="16" customHeight="1">
      <c r="A42" s="228" t="s">
        <v>33</v>
      </c>
      <c r="B42" s="16">
        <f t="shared" si="0"/>
        <v>58.3</v>
      </c>
      <c r="C42" s="16">
        <f t="shared" si="1"/>
        <v>12</v>
      </c>
      <c r="D42" s="16">
        <f t="shared" si="4"/>
        <v>7</v>
      </c>
      <c r="E42" s="17">
        <f>'1.1'!F42</f>
        <v>2</v>
      </c>
      <c r="F42" s="13">
        <f>'1.2'!C42</f>
        <v>2</v>
      </c>
      <c r="G42" s="13">
        <f>'1.3'!C42</f>
        <v>2</v>
      </c>
      <c r="H42" s="13">
        <f>'1.4'!E43</f>
        <v>0</v>
      </c>
      <c r="I42" s="13">
        <f>'1.5'!E43</f>
        <v>1</v>
      </c>
    </row>
    <row r="43" spans="1:9" ht="16" customHeight="1">
      <c r="A43" s="228" t="s">
        <v>34</v>
      </c>
      <c r="B43" s="16">
        <f t="shared" si="0"/>
        <v>33.299999999999997</v>
      </c>
      <c r="C43" s="16">
        <f t="shared" si="1"/>
        <v>12</v>
      </c>
      <c r="D43" s="16">
        <f t="shared" si="4"/>
        <v>4</v>
      </c>
      <c r="E43" s="17">
        <f>'1.1'!F43</f>
        <v>0</v>
      </c>
      <c r="F43" s="13">
        <f>'1.2'!C43</f>
        <v>2</v>
      </c>
      <c r="G43" s="13">
        <f>'1.3'!C43</f>
        <v>2</v>
      </c>
      <c r="H43" s="13">
        <f>'1.4'!E44</f>
        <v>0</v>
      </c>
      <c r="I43" s="13">
        <f>'1.5'!E44</f>
        <v>0</v>
      </c>
    </row>
    <row r="44" spans="1:9" ht="16" customHeight="1">
      <c r="A44" s="228" t="s">
        <v>35</v>
      </c>
      <c r="B44" s="16">
        <f t="shared" si="0"/>
        <v>100</v>
      </c>
      <c r="C44" s="16">
        <f t="shared" si="1"/>
        <v>12</v>
      </c>
      <c r="D44" s="16">
        <f t="shared" si="4"/>
        <v>12</v>
      </c>
      <c r="E44" s="17">
        <f>'1.1'!F44</f>
        <v>4</v>
      </c>
      <c r="F44" s="13">
        <f>'1.2'!C44</f>
        <v>2</v>
      </c>
      <c r="G44" s="13">
        <f>'1.3'!C44</f>
        <v>2</v>
      </c>
      <c r="H44" s="13">
        <f>'1.4'!E45</f>
        <v>2</v>
      </c>
      <c r="I44" s="13">
        <f>'1.5'!E45</f>
        <v>2</v>
      </c>
    </row>
    <row r="45" spans="1:9" ht="16" customHeight="1">
      <c r="A45" s="228" t="s">
        <v>423</v>
      </c>
      <c r="B45" s="16">
        <f t="shared" si="0"/>
        <v>70</v>
      </c>
      <c r="C45" s="16">
        <f>$D$5-$I$5</f>
        <v>10</v>
      </c>
      <c r="D45" s="16">
        <f t="shared" si="4"/>
        <v>7</v>
      </c>
      <c r="E45" s="17">
        <f>'1.1'!F45</f>
        <v>4</v>
      </c>
      <c r="F45" s="13">
        <f>'1.2'!C45</f>
        <v>0</v>
      </c>
      <c r="G45" s="13">
        <f>'1.3'!C45</f>
        <v>2</v>
      </c>
      <c r="H45" s="13">
        <f>'1.4'!E46</f>
        <v>1</v>
      </c>
      <c r="I45" s="13" t="str">
        <f>'1.5'!E46</f>
        <v>- *</v>
      </c>
    </row>
    <row r="46" spans="1:9" ht="16" customHeight="1">
      <c r="A46" s="227" t="s">
        <v>36</v>
      </c>
      <c r="B46" s="26"/>
      <c r="C46" s="26"/>
      <c r="D46" s="26"/>
      <c r="E46" s="27"/>
      <c r="F46" s="28"/>
      <c r="G46" s="28"/>
      <c r="H46" s="28"/>
      <c r="I46" s="28"/>
    </row>
    <row r="47" spans="1:9" ht="16" customHeight="1">
      <c r="A47" s="228" t="s">
        <v>37</v>
      </c>
      <c r="B47" s="16">
        <f t="shared" si="0"/>
        <v>41.7</v>
      </c>
      <c r="C47" s="16">
        <f t="shared" si="1"/>
        <v>12</v>
      </c>
      <c r="D47" s="16">
        <f t="shared" ref="D47:D53" si="5">SUM(E47:I47)</f>
        <v>5</v>
      </c>
      <c r="E47" s="17">
        <f>'1.1'!F47</f>
        <v>0</v>
      </c>
      <c r="F47" s="13">
        <f>'1.2'!C47</f>
        <v>2</v>
      </c>
      <c r="G47" s="13">
        <f>'1.3'!C47</f>
        <v>2</v>
      </c>
      <c r="H47" s="13">
        <f>'1.4'!E48</f>
        <v>0</v>
      </c>
      <c r="I47" s="13">
        <f>'1.5'!E48</f>
        <v>1</v>
      </c>
    </row>
    <row r="48" spans="1:9" ht="16" customHeight="1">
      <c r="A48" s="228" t="s">
        <v>38</v>
      </c>
      <c r="B48" s="16">
        <f t="shared" si="0"/>
        <v>50</v>
      </c>
      <c r="C48" s="16">
        <f t="shared" si="1"/>
        <v>12</v>
      </c>
      <c r="D48" s="16">
        <f t="shared" si="5"/>
        <v>6</v>
      </c>
      <c r="E48" s="17">
        <f>'1.1'!F48</f>
        <v>2</v>
      </c>
      <c r="F48" s="13">
        <f>'1.2'!C48</f>
        <v>2</v>
      </c>
      <c r="G48" s="13">
        <f>'1.3'!C48</f>
        <v>2</v>
      </c>
      <c r="H48" s="13">
        <f>'1.4'!E49</f>
        <v>0</v>
      </c>
      <c r="I48" s="13">
        <f>'1.5'!E49</f>
        <v>0</v>
      </c>
    </row>
    <row r="49" spans="1:9" ht="16" customHeight="1">
      <c r="A49" s="228" t="s">
        <v>39</v>
      </c>
      <c r="B49" s="16">
        <f t="shared" si="0"/>
        <v>83.3</v>
      </c>
      <c r="C49" s="16">
        <f t="shared" si="1"/>
        <v>12</v>
      </c>
      <c r="D49" s="16">
        <f t="shared" si="5"/>
        <v>10</v>
      </c>
      <c r="E49" s="17">
        <f>'1.1'!F49</f>
        <v>4</v>
      </c>
      <c r="F49" s="13">
        <f>'1.2'!C49</f>
        <v>2</v>
      </c>
      <c r="G49" s="13">
        <f>'1.3'!C49</f>
        <v>2</v>
      </c>
      <c r="H49" s="13">
        <f>'1.4'!E50</f>
        <v>0</v>
      </c>
      <c r="I49" s="13">
        <f>'1.5'!E50</f>
        <v>2</v>
      </c>
    </row>
    <row r="50" spans="1:9" ht="16" customHeight="1">
      <c r="A50" s="228" t="s">
        <v>40</v>
      </c>
      <c r="B50" s="16">
        <f t="shared" si="0"/>
        <v>50</v>
      </c>
      <c r="C50" s="16">
        <f t="shared" si="1"/>
        <v>12</v>
      </c>
      <c r="D50" s="16">
        <f t="shared" si="5"/>
        <v>6</v>
      </c>
      <c r="E50" s="17">
        <f>'1.1'!F50</f>
        <v>1</v>
      </c>
      <c r="F50" s="13">
        <f>'1.2'!C50</f>
        <v>2</v>
      </c>
      <c r="G50" s="13">
        <f>'1.3'!C50</f>
        <v>2</v>
      </c>
      <c r="H50" s="13">
        <f>'1.4'!E51</f>
        <v>1</v>
      </c>
      <c r="I50" s="13">
        <f>'1.5'!E51</f>
        <v>0</v>
      </c>
    </row>
    <row r="51" spans="1:9" ht="16" customHeight="1">
      <c r="A51" s="228" t="s">
        <v>681</v>
      </c>
      <c r="B51" s="16">
        <f t="shared" si="0"/>
        <v>50</v>
      </c>
      <c r="C51" s="16">
        <f t="shared" si="1"/>
        <v>12</v>
      </c>
      <c r="D51" s="16">
        <f t="shared" si="5"/>
        <v>6</v>
      </c>
      <c r="E51" s="17">
        <f>'1.1'!F51</f>
        <v>4</v>
      </c>
      <c r="F51" s="13">
        <f>'1.2'!C51</f>
        <v>0</v>
      </c>
      <c r="G51" s="13">
        <f>'1.3'!C51</f>
        <v>2</v>
      </c>
      <c r="H51" s="13">
        <f>'1.4'!E52</f>
        <v>0</v>
      </c>
      <c r="I51" s="13">
        <f>'1.5'!E52</f>
        <v>0</v>
      </c>
    </row>
    <row r="52" spans="1:9" ht="16" customHeight="1">
      <c r="A52" s="228" t="s">
        <v>41</v>
      </c>
      <c r="B52" s="16">
        <f t="shared" si="0"/>
        <v>75</v>
      </c>
      <c r="C52" s="16">
        <f t="shared" si="1"/>
        <v>12</v>
      </c>
      <c r="D52" s="16">
        <f t="shared" si="5"/>
        <v>9</v>
      </c>
      <c r="E52" s="17">
        <f>'1.1'!F52</f>
        <v>1</v>
      </c>
      <c r="F52" s="13">
        <f>'1.2'!C52</f>
        <v>2</v>
      </c>
      <c r="G52" s="13">
        <f>'1.3'!C52</f>
        <v>2</v>
      </c>
      <c r="H52" s="13">
        <f>'1.4'!E53</f>
        <v>2</v>
      </c>
      <c r="I52" s="13">
        <f>'1.5'!E53</f>
        <v>2</v>
      </c>
    </row>
    <row r="53" spans="1:9" ht="16" customHeight="1">
      <c r="A53" s="228" t="s">
        <v>42</v>
      </c>
      <c r="B53" s="16">
        <f t="shared" si="0"/>
        <v>100</v>
      </c>
      <c r="C53" s="16">
        <f t="shared" si="1"/>
        <v>12</v>
      </c>
      <c r="D53" s="16">
        <f t="shared" si="5"/>
        <v>12</v>
      </c>
      <c r="E53" s="17">
        <f>'1.1'!F53</f>
        <v>4</v>
      </c>
      <c r="F53" s="13">
        <f>'1.2'!C53</f>
        <v>2</v>
      </c>
      <c r="G53" s="13">
        <f>'1.3'!C53</f>
        <v>2</v>
      </c>
      <c r="H53" s="13">
        <f>'1.4'!E54</f>
        <v>2</v>
      </c>
      <c r="I53" s="13">
        <f>'1.5'!E54</f>
        <v>2</v>
      </c>
    </row>
    <row r="54" spans="1:9" ht="16" customHeight="1">
      <c r="A54" s="227" t="s">
        <v>43</v>
      </c>
      <c r="B54" s="26"/>
      <c r="C54" s="26"/>
      <c r="D54" s="26"/>
      <c r="E54" s="27"/>
      <c r="F54" s="28"/>
      <c r="G54" s="28"/>
      <c r="H54" s="28"/>
      <c r="I54" s="28"/>
    </row>
    <row r="55" spans="1:9" ht="16" customHeight="1">
      <c r="A55" s="228" t="s">
        <v>44</v>
      </c>
      <c r="B55" s="16">
        <f t="shared" si="0"/>
        <v>100</v>
      </c>
      <c r="C55" s="16">
        <f t="shared" si="1"/>
        <v>12</v>
      </c>
      <c r="D55" s="16">
        <f t="shared" ref="D55:D68" si="6">SUM(E55:I55)</f>
        <v>12</v>
      </c>
      <c r="E55" s="17">
        <f>'1.1'!F55</f>
        <v>4</v>
      </c>
      <c r="F55" s="13">
        <f>'1.2'!C55</f>
        <v>2</v>
      </c>
      <c r="G55" s="13">
        <f>'1.3'!C55</f>
        <v>2</v>
      </c>
      <c r="H55" s="13">
        <f>'1.4'!E56</f>
        <v>2</v>
      </c>
      <c r="I55" s="13">
        <f>'1.5'!E56</f>
        <v>2</v>
      </c>
    </row>
    <row r="56" spans="1:9" s="7" customFormat="1" ht="16" customHeight="1">
      <c r="A56" s="228" t="s">
        <v>682</v>
      </c>
      <c r="B56" s="16">
        <f t="shared" si="0"/>
        <v>91.7</v>
      </c>
      <c r="C56" s="16">
        <f t="shared" si="1"/>
        <v>12</v>
      </c>
      <c r="D56" s="16">
        <f t="shared" si="6"/>
        <v>11</v>
      </c>
      <c r="E56" s="17">
        <f>'1.1'!F56</f>
        <v>4</v>
      </c>
      <c r="F56" s="13">
        <f>'1.2'!C56</f>
        <v>2</v>
      </c>
      <c r="G56" s="13">
        <f>'1.3'!C56</f>
        <v>2</v>
      </c>
      <c r="H56" s="13">
        <f>'1.4'!E57</f>
        <v>1</v>
      </c>
      <c r="I56" s="13">
        <f>'1.5'!E57</f>
        <v>2</v>
      </c>
    </row>
    <row r="57" spans="1:9" ht="16" customHeight="1">
      <c r="A57" s="228" t="s">
        <v>45</v>
      </c>
      <c r="B57" s="16">
        <f t="shared" si="0"/>
        <v>29.2</v>
      </c>
      <c r="C57" s="16">
        <f t="shared" si="1"/>
        <v>12</v>
      </c>
      <c r="D57" s="16">
        <f t="shared" si="6"/>
        <v>3.5</v>
      </c>
      <c r="E57" s="17">
        <f>'1.1'!F57</f>
        <v>1</v>
      </c>
      <c r="F57" s="13">
        <f>'1.2'!C57</f>
        <v>0</v>
      </c>
      <c r="G57" s="13">
        <f>'1.3'!C57</f>
        <v>2</v>
      </c>
      <c r="H57" s="13">
        <f>'1.4'!E58</f>
        <v>0</v>
      </c>
      <c r="I57" s="13">
        <f>'1.5'!E58</f>
        <v>0.5</v>
      </c>
    </row>
    <row r="58" spans="1:9" ht="16" customHeight="1">
      <c r="A58" s="228" t="s">
        <v>46</v>
      </c>
      <c r="B58" s="16">
        <f t="shared" si="0"/>
        <v>66.7</v>
      </c>
      <c r="C58" s="16">
        <f t="shared" si="1"/>
        <v>12</v>
      </c>
      <c r="D58" s="16">
        <f t="shared" si="6"/>
        <v>8</v>
      </c>
      <c r="E58" s="17">
        <f>'1.1'!F58</f>
        <v>4</v>
      </c>
      <c r="F58" s="13">
        <f>'1.2'!C58</f>
        <v>2</v>
      </c>
      <c r="G58" s="13">
        <f>'1.3'!C58</f>
        <v>2</v>
      </c>
      <c r="H58" s="13">
        <f>'1.4'!E59</f>
        <v>0</v>
      </c>
      <c r="I58" s="13">
        <f>'1.5'!E59</f>
        <v>0</v>
      </c>
    </row>
    <row r="59" spans="1:9" ht="16" customHeight="1">
      <c r="A59" s="228" t="s">
        <v>47</v>
      </c>
      <c r="B59" s="16">
        <f t="shared" si="0"/>
        <v>83.3</v>
      </c>
      <c r="C59" s="16">
        <f t="shared" si="1"/>
        <v>12</v>
      </c>
      <c r="D59" s="16">
        <f t="shared" si="6"/>
        <v>10</v>
      </c>
      <c r="E59" s="17">
        <f>'1.1'!F59</f>
        <v>4</v>
      </c>
      <c r="F59" s="13">
        <f>'1.2'!C59</f>
        <v>2</v>
      </c>
      <c r="G59" s="13">
        <f>'1.3'!C59</f>
        <v>2</v>
      </c>
      <c r="H59" s="13">
        <f>'1.4'!E60</f>
        <v>0</v>
      </c>
      <c r="I59" s="13">
        <f>'1.5'!E60</f>
        <v>2</v>
      </c>
    </row>
    <row r="60" spans="1:9" ht="16" customHeight="1">
      <c r="A60" s="228" t="s">
        <v>683</v>
      </c>
      <c r="B60" s="16">
        <f t="shared" si="0"/>
        <v>91.7</v>
      </c>
      <c r="C60" s="16">
        <f t="shared" si="1"/>
        <v>12</v>
      </c>
      <c r="D60" s="16">
        <f t="shared" si="6"/>
        <v>11</v>
      </c>
      <c r="E60" s="17">
        <f>'1.1'!F60</f>
        <v>4</v>
      </c>
      <c r="F60" s="13">
        <f>'1.2'!C60</f>
        <v>2</v>
      </c>
      <c r="G60" s="13">
        <f>'1.3'!C60</f>
        <v>2</v>
      </c>
      <c r="H60" s="13">
        <f>'1.4'!E61</f>
        <v>1</v>
      </c>
      <c r="I60" s="13">
        <f>'1.5'!E61</f>
        <v>2</v>
      </c>
    </row>
    <row r="61" spans="1:9" ht="16" customHeight="1">
      <c r="A61" s="228" t="s">
        <v>48</v>
      </c>
      <c r="B61" s="16">
        <f t="shared" si="0"/>
        <v>33.299999999999997</v>
      </c>
      <c r="C61" s="16">
        <f t="shared" si="1"/>
        <v>12</v>
      </c>
      <c r="D61" s="16">
        <f t="shared" si="6"/>
        <v>4</v>
      </c>
      <c r="E61" s="17">
        <f>'1.1'!F61</f>
        <v>2</v>
      </c>
      <c r="F61" s="13">
        <f>'1.2'!C61</f>
        <v>0</v>
      </c>
      <c r="G61" s="13">
        <f>'1.3'!C61</f>
        <v>0</v>
      </c>
      <c r="H61" s="13">
        <f>'1.4'!E62</f>
        <v>0</v>
      </c>
      <c r="I61" s="13">
        <f>'1.5'!E62</f>
        <v>2</v>
      </c>
    </row>
    <row r="62" spans="1:9" ht="16" customHeight="1">
      <c r="A62" s="228" t="s">
        <v>49</v>
      </c>
      <c r="B62" s="16">
        <f t="shared" si="0"/>
        <v>91.7</v>
      </c>
      <c r="C62" s="16">
        <f t="shared" si="1"/>
        <v>12</v>
      </c>
      <c r="D62" s="16">
        <f t="shared" si="6"/>
        <v>11</v>
      </c>
      <c r="E62" s="17">
        <f>'1.1'!F62</f>
        <v>4</v>
      </c>
      <c r="F62" s="13">
        <f>'1.2'!C62</f>
        <v>2</v>
      </c>
      <c r="G62" s="13">
        <f>'1.3'!C62</f>
        <v>2</v>
      </c>
      <c r="H62" s="13">
        <f>'1.4'!E63</f>
        <v>2</v>
      </c>
      <c r="I62" s="13">
        <f>'1.5'!E63</f>
        <v>1</v>
      </c>
    </row>
    <row r="63" spans="1:9" ht="16" customHeight="1">
      <c r="A63" s="228" t="s">
        <v>684</v>
      </c>
      <c r="B63" s="16">
        <f t="shared" si="0"/>
        <v>100</v>
      </c>
      <c r="C63" s="16">
        <f t="shared" si="1"/>
        <v>12</v>
      </c>
      <c r="D63" s="16">
        <f t="shared" si="6"/>
        <v>12</v>
      </c>
      <c r="E63" s="17">
        <f>'1.1'!F63</f>
        <v>4</v>
      </c>
      <c r="F63" s="13">
        <f>'1.2'!C63</f>
        <v>2</v>
      </c>
      <c r="G63" s="13">
        <f>'1.3'!C63</f>
        <v>2</v>
      </c>
      <c r="H63" s="13">
        <f>'1.4'!E64</f>
        <v>2</v>
      </c>
      <c r="I63" s="13">
        <f>'1.5'!E64</f>
        <v>2</v>
      </c>
    </row>
    <row r="64" spans="1:9" ht="16" customHeight="1">
      <c r="A64" s="228" t="s">
        <v>51</v>
      </c>
      <c r="B64" s="16">
        <f t="shared" si="0"/>
        <v>91.7</v>
      </c>
      <c r="C64" s="16">
        <f t="shared" si="1"/>
        <v>12</v>
      </c>
      <c r="D64" s="16">
        <f t="shared" si="6"/>
        <v>11</v>
      </c>
      <c r="E64" s="17">
        <f>'1.1'!F64</f>
        <v>4</v>
      </c>
      <c r="F64" s="13">
        <f>'1.2'!C64</f>
        <v>2</v>
      </c>
      <c r="G64" s="13">
        <f>'1.3'!C64</f>
        <v>2</v>
      </c>
      <c r="H64" s="13">
        <f>'1.4'!E65</f>
        <v>1</v>
      </c>
      <c r="I64" s="13">
        <f>'1.5'!E65</f>
        <v>2</v>
      </c>
    </row>
    <row r="65" spans="1:9" ht="16" customHeight="1">
      <c r="A65" s="228" t="s">
        <v>52</v>
      </c>
      <c r="B65" s="16">
        <f t="shared" si="0"/>
        <v>66.7</v>
      </c>
      <c r="C65" s="16">
        <f t="shared" si="1"/>
        <v>12</v>
      </c>
      <c r="D65" s="16">
        <f t="shared" si="6"/>
        <v>8</v>
      </c>
      <c r="E65" s="17">
        <f>'1.1'!F65</f>
        <v>2</v>
      </c>
      <c r="F65" s="13">
        <f>'1.2'!C65</f>
        <v>2</v>
      </c>
      <c r="G65" s="13">
        <f>'1.3'!C65</f>
        <v>2</v>
      </c>
      <c r="H65" s="13">
        <f>'1.4'!E66</f>
        <v>0</v>
      </c>
      <c r="I65" s="13">
        <f>'1.5'!E66</f>
        <v>2</v>
      </c>
    </row>
    <row r="66" spans="1:9" ht="16" customHeight="1">
      <c r="A66" s="228" t="s">
        <v>53</v>
      </c>
      <c r="B66" s="16">
        <f t="shared" si="0"/>
        <v>50</v>
      </c>
      <c r="C66" s="16">
        <f t="shared" si="1"/>
        <v>12</v>
      </c>
      <c r="D66" s="16">
        <f t="shared" si="6"/>
        <v>6</v>
      </c>
      <c r="E66" s="17">
        <f>'1.1'!F66</f>
        <v>4</v>
      </c>
      <c r="F66" s="13">
        <f>'1.2'!C66</f>
        <v>0</v>
      </c>
      <c r="G66" s="13">
        <f>'1.3'!C66</f>
        <v>0</v>
      </c>
      <c r="H66" s="13">
        <f>'1.4'!E67</f>
        <v>0</v>
      </c>
      <c r="I66" s="13">
        <f>'1.5'!E67</f>
        <v>2</v>
      </c>
    </row>
    <row r="67" spans="1:9" ht="16" customHeight="1">
      <c r="A67" s="228" t="s">
        <v>54</v>
      </c>
      <c r="B67" s="16">
        <f t="shared" si="0"/>
        <v>100</v>
      </c>
      <c r="C67" s="16">
        <f t="shared" si="1"/>
        <v>12</v>
      </c>
      <c r="D67" s="16">
        <f t="shared" si="6"/>
        <v>12</v>
      </c>
      <c r="E67" s="17">
        <f>'1.1'!F67</f>
        <v>4</v>
      </c>
      <c r="F67" s="13">
        <f>'1.2'!C67</f>
        <v>2</v>
      </c>
      <c r="G67" s="13">
        <f>'1.3'!C67</f>
        <v>2</v>
      </c>
      <c r="H67" s="13">
        <f>'1.4'!E68</f>
        <v>2</v>
      </c>
      <c r="I67" s="13">
        <f>'1.5'!E68</f>
        <v>2</v>
      </c>
    </row>
    <row r="68" spans="1:9" ht="16" customHeight="1">
      <c r="A68" s="228" t="s">
        <v>55</v>
      </c>
      <c r="B68" s="16">
        <f t="shared" si="0"/>
        <v>41.7</v>
      </c>
      <c r="C68" s="16">
        <f t="shared" si="1"/>
        <v>12</v>
      </c>
      <c r="D68" s="16">
        <f t="shared" si="6"/>
        <v>5</v>
      </c>
      <c r="E68" s="17">
        <f>'1.1'!F68</f>
        <v>2</v>
      </c>
      <c r="F68" s="13">
        <f>'1.2'!C68</f>
        <v>0</v>
      </c>
      <c r="G68" s="13">
        <f>'1.3'!C68</f>
        <v>2</v>
      </c>
      <c r="H68" s="13">
        <f>'1.4'!E69</f>
        <v>0</v>
      </c>
      <c r="I68" s="13">
        <f>'1.5'!E69</f>
        <v>1</v>
      </c>
    </row>
    <row r="69" spans="1:9" ht="16" customHeight="1">
      <c r="A69" s="227" t="s">
        <v>56</v>
      </c>
      <c r="B69" s="26"/>
      <c r="C69" s="26"/>
      <c r="D69" s="26"/>
      <c r="E69" s="27"/>
      <c r="F69" s="28"/>
      <c r="G69" s="28"/>
      <c r="H69" s="28"/>
      <c r="I69" s="28"/>
    </row>
    <row r="70" spans="1:9" ht="16" customHeight="1">
      <c r="A70" s="228" t="s">
        <v>57</v>
      </c>
      <c r="B70" s="16">
        <f t="shared" si="0"/>
        <v>41.7</v>
      </c>
      <c r="C70" s="16">
        <f t="shared" si="1"/>
        <v>12</v>
      </c>
      <c r="D70" s="16">
        <f t="shared" ref="D70:D75" si="7">SUM(E70:I70)</f>
        <v>5</v>
      </c>
      <c r="E70" s="17">
        <f>'1.1'!F70</f>
        <v>2</v>
      </c>
      <c r="F70" s="13">
        <f>'1.2'!C70</f>
        <v>0</v>
      </c>
      <c r="G70" s="13">
        <f>'1.3'!C70</f>
        <v>2</v>
      </c>
      <c r="H70" s="13">
        <f>'1.4'!E71</f>
        <v>0</v>
      </c>
      <c r="I70" s="13">
        <f>'1.5'!E71</f>
        <v>1</v>
      </c>
    </row>
    <row r="71" spans="1:9" ht="16" customHeight="1">
      <c r="A71" s="228" t="s">
        <v>58</v>
      </c>
      <c r="B71" s="16">
        <f t="shared" si="0"/>
        <v>66.7</v>
      </c>
      <c r="C71" s="16">
        <f t="shared" si="1"/>
        <v>12</v>
      </c>
      <c r="D71" s="16">
        <f t="shared" si="7"/>
        <v>8</v>
      </c>
      <c r="E71" s="17">
        <f>'1.1'!F71</f>
        <v>4</v>
      </c>
      <c r="F71" s="13">
        <f>'1.2'!C71</f>
        <v>2</v>
      </c>
      <c r="G71" s="13">
        <f>'1.3'!C71</f>
        <v>2</v>
      </c>
      <c r="H71" s="13">
        <f>'1.4'!E72</f>
        <v>0</v>
      </c>
      <c r="I71" s="13">
        <f>'1.5'!E72</f>
        <v>0</v>
      </c>
    </row>
    <row r="72" spans="1:9" ht="16" customHeight="1">
      <c r="A72" s="228" t="s">
        <v>59</v>
      </c>
      <c r="B72" s="16">
        <f t="shared" ref="B72:B98" si="8">ROUND(D72/C72*100,1)</f>
        <v>83.3</v>
      </c>
      <c r="C72" s="16">
        <f t="shared" si="1"/>
        <v>12</v>
      </c>
      <c r="D72" s="16">
        <f t="shared" si="7"/>
        <v>10</v>
      </c>
      <c r="E72" s="17">
        <f>'1.1'!F72</f>
        <v>4</v>
      </c>
      <c r="F72" s="13">
        <f>'1.2'!C72</f>
        <v>2</v>
      </c>
      <c r="G72" s="13">
        <f>'1.3'!C72</f>
        <v>2</v>
      </c>
      <c r="H72" s="13">
        <f>'1.4'!E73</f>
        <v>0</v>
      </c>
      <c r="I72" s="13">
        <f>'1.5'!E73</f>
        <v>2</v>
      </c>
    </row>
    <row r="73" spans="1:9" ht="16" customHeight="1">
      <c r="A73" s="228" t="s">
        <v>60</v>
      </c>
      <c r="B73" s="16">
        <f t="shared" si="8"/>
        <v>83.3</v>
      </c>
      <c r="C73" s="16">
        <f t="shared" ref="C73:C98" si="9">$D$5</f>
        <v>12</v>
      </c>
      <c r="D73" s="16">
        <f t="shared" si="7"/>
        <v>10</v>
      </c>
      <c r="E73" s="17">
        <f>'1.1'!F73</f>
        <v>4</v>
      </c>
      <c r="F73" s="13">
        <f>'1.2'!C73</f>
        <v>2</v>
      </c>
      <c r="G73" s="13">
        <f>'1.3'!C73</f>
        <v>2</v>
      </c>
      <c r="H73" s="13">
        <f>'1.4'!E74</f>
        <v>1</v>
      </c>
      <c r="I73" s="13">
        <f>'1.5'!E74</f>
        <v>1</v>
      </c>
    </row>
    <row r="74" spans="1:9" ht="16" customHeight="1">
      <c r="A74" s="228" t="s">
        <v>685</v>
      </c>
      <c r="B74" s="16">
        <f t="shared" si="8"/>
        <v>100</v>
      </c>
      <c r="C74" s="16">
        <f t="shared" si="9"/>
        <v>12</v>
      </c>
      <c r="D74" s="16">
        <f t="shared" si="7"/>
        <v>12</v>
      </c>
      <c r="E74" s="17">
        <f>'1.1'!F74</f>
        <v>4</v>
      </c>
      <c r="F74" s="13">
        <f>'1.2'!C74</f>
        <v>2</v>
      </c>
      <c r="G74" s="13">
        <f>'1.3'!C74</f>
        <v>2</v>
      </c>
      <c r="H74" s="13">
        <f>'1.4'!E75</f>
        <v>2</v>
      </c>
      <c r="I74" s="13">
        <f>'1.5'!E75</f>
        <v>2</v>
      </c>
    </row>
    <row r="75" spans="1:9" ht="16" customHeight="1">
      <c r="A75" s="228" t="s">
        <v>61</v>
      </c>
      <c r="B75" s="16">
        <f t="shared" si="8"/>
        <v>75</v>
      </c>
      <c r="C75" s="16">
        <f t="shared" si="9"/>
        <v>12</v>
      </c>
      <c r="D75" s="16">
        <f t="shared" si="7"/>
        <v>9</v>
      </c>
      <c r="E75" s="17">
        <f>'1.1'!F75</f>
        <v>4</v>
      </c>
      <c r="F75" s="13">
        <f>'1.2'!C75</f>
        <v>2</v>
      </c>
      <c r="G75" s="13">
        <f>'1.3'!C75</f>
        <v>2</v>
      </c>
      <c r="H75" s="13">
        <f>'1.4'!E76</f>
        <v>0</v>
      </c>
      <c r="I75" s="13">
        <f>'1.5'!E76</f>
        <v>1</v>
      </c>
    </row>
    <row r="76" spans="1:9" ht="16" customHeight="1">
      <c r="A76" s="227" t="s">
        <v>62</v>
      </c>
      <c r="B76" s="26"/>
      <c r="C76" s="26"/>
      <c r="D76" s="26"/>
      <c r="E76" s="27"/>
      <c r="F76" s="28"/>
      <c r="G76" s="28"/>
      <c r="H76" s="28"/>
      <c r="I76" s="28"/>
    </row>
    <row r="77" spans="1:9" ht="16" customHeight="1">
      <c r="A77" s="228" t="s">
        <v>63</v>
      </c>
      <c r="B77" s="16">
        <f t="shared" si="8"/>
        <v>91.7</v>
      </c>
      <c r="C77" s="16">
        <f t="shared" si="9"/>
        <v>12</v>
      </c>
      <c r="D77" s="16">
        <f t="shared" ref="D77:D86" si="10">SUM(E77:I77)</f>
        <v>11</v>
      </c>
      <c r="E77" s="17">
        <f>'1.1'!F77</f>
        <v>4</v>
      </c>
      <c r="F77" s="13">
        <f>'1.2'!C77</f>
        <v>2</v>
      </c>
      <c r="G77" s="13">
        <f>'1.3'!C77</f>
        <v>2</v>
      </c>
      <c r="H77" s="13">
        <f>'1.4'!E78</f>
        <v>1</v>
      </c>
      <c r="I77" s="13">
        <f>'1.5'!E78</f>
        <v>2</v>
      </c>
    </row>
    <row r="78" spans="1:9" ht="16" customHeight="1">
      <c r="A78" s="228" t="s">
        <v>65</v>
      </c>
      <c r="B78" s="16">
        <f t="shared" si="8"/>
        <v>58.3</v>
      </c>
      <c r="C78" s="16">
        <f t="shared" si="9"/>
        <v>12</v>
      </c>
      <c r="D78" s="16">
        <f t="shared" si="10"/>
        <v>7</v>
      </c>
      <c r="E78" s="17">
        <f>'1.1'!F78</f>
        <v>0</v>
      </c>
      <c r="F78" s="13">
        <f>'1.2'!C78</f>
        <v>2</v>
      </c>
      <c r="G78" s="13">
        <f>'1.3'!C78</f>
        <v>2</v>
      </c>
      <c r="H78" s="13">
        <f>'1.4'!E79</f>
        <v>1</v>
      </c>
      <c r="I78" s="13">
        <f>'1.5'!E79</f>
        <v>2</v>
      </c>
    </row>
    <row r="79" spans="1:9" ht="16" customHeight="1">
      <c r="A79" s="228" t="s">
        <v>66</v>
      </c>
      <c r="B79" s="16">
        <f t="shared" si="8"/>
        <v>91.7</v>
      </c>
      <c r="C79" s="16">
        <f t="shared" si="9"/>
        <v>12</v>
      </c>
      <c r="D79" s="16">
        <f t="shared" si="10"/>
        <v>11</v>
      </c>
      <c r="E79" s="17">
        <f>'1.1'!F79</f>
        <v>4</v>
      </c>
      <c r="F79" s="13">
        <f>'1.2'!C79</f>
        <v>2</v>
      </c>
      <c r="G79" s="13">
        <f>'1.3'!C79</f>
        <v>2</v>
      </c>
      <c r="H79" s="13">
        <f>'1.4'!E80</f>
        <v>1</v>
      </c>
      <c r="I79" s="13">
        <f>'1.5'!E80</f>
        <v>2</v>
      </c>
    </row>
    <row r="80" spans="1:9" ht="16" customHeight="1">
      <c r="A80" s="228" t="s">
        <v>67</v>
      </c>
      <c r="B80" s="16">
        <f t="shared" si="8"/>
        <v>58.3</v>
      </c>
      <c r="C80" s="16">
        <f t="shared" si="9"/>
        <v>12</v>
      </c>
      <c r="D80" s="16">
        <f t="shared" si="10"/>
        <v>7</v>
      </c>
      <c r="E80" s="17">
        <f>'1.1'!F80</f>
        <v>4</v>
      </c>
      <c r="F80" s="13">
        <f>'1.2'!C80</f>
        <v>0</v>
      </c>
      <c r="G80" s="13">
        <f>'1.3'!C80</f>
        <v>2</v>
      </c>
      <c r="H80" s="13">
        <f>'1.4'!E81</f>
        <v>0</v>
      </c>
      <c r="I80" s="13">
        <f>'1.5'!E81</f>
        <v>1</v>
      </c>
    </row>
    <row r="81" spans="1:9" ht="16" customHeight="1">
      <c r="A81" s="228" t="s">
        <v>69</v>
      </c>
      <c r="B81" s="16">
        <f t="shared" si="8"/>
        <v>75</v>
      </c>
      <c r="C81" s="16">
        <f t="shared" si="9"/>
        <v>12</v>
      </c>
      <c r="D81" s="16">
        <f t="shared" si="10"/>
        <v>9</v>
      </c>
      <c r="E81" s="17">
        <f>'1.1'!F81</f>
        <v>4</v>
      </c>
      <c r="F81" s="13">
        <f>'1.2'!C81</f>
        <v>2</v>
      </c>
      <c r="G81" s="13">
        <f>'1.3'!C81</f>
        <v>2</v>
      </c>
      <c r="H81" s="13">
        <f>'1.4'!E82</f>
        <v>1</v>
      </c>
      <c r="I81" s="13">
        <f>'1.5'!E82</f>
        <v>0</v>
      </c>
    </row>
    <row r="82" spans="1:9" ht="16" customHeight="1">
      <c r="A82" s="228" t="s">
        <v>70</v>
      </c>
      <c r="B82" s="16">
        <f t="shared" si="8"/>
        <v>66.7</v>
      </c>
      <c r="C82" s="16">
        <f t="shared" si="9"/>
        <v>12</v>
      </c>
      <c r="D82" s="16">
        <f t="shared" si="10"/>
        <v>8</v>
      </c>
      <c r="E82" s="17">
        <f>'1.1'!F82</f>
        <v>4</v>
      </c>
      <c r="F82" s="13">
        <f>'1.2'!C82</f>
        <v>2</v>
      </c>
      <c r="G82" s="13">
        <f>'1.3'!C82</f>
        <v>2</v>
      </c>
      <c r="H82" s="13">
        <f>'1.4'!E83</f>
        <v>0</v>
      </c>
      <c r="I82" s="13">
        <f>'1.5'!E83</f>
        <v>0</v>
      </c>
    </row>
    <row r="83" spans="1:9" ht="16" customHeight="1">
      <c r="A83" s="228" t="s">
        <v>686</v>
      </c>
      <c r="B83" s="16">
        <f t="shared" si="8"/>
        <v>100</v>
      </c>
      <c r="C83" s="16">
        <f t="shared" si="9"/>
        <v>12</v>
      </c>
      <c r="D83" s="16">
        <f t="shared" si="10"/>
        <v>12</v>
      </c>
      <c r="E83" s="17">
        <f>'1.1'!F83</f>
        <v>4</v>
      </c>
      <c r="F83" s="13">
        <f>'1.2'!C83</f>
        <v>2</v>
      </c>
      <c r="G83" s="13">
        <f>'1.3'!C83</f>
        <v>2</v>
      </c>
      <c r="H83" s="13">
        <f>'1.4'!E84</f>
        <v>2</v>
      </c>
      <c r="I83" s="13">
        <f>'1.5'!E84</f>
        <v>2</v>
      </c>
    </row>
    <row r="84" spans="1:9" ht="16" customHeight="1">
      <c r="A84" s="228" t="s">
        <v>71</v>
      </c>
      <c r="B84" s="16">
        <f t="shared" si="8"/>
        <v>75</v>
      </c>
      <c r="C84" s="16">
        <f t="shared" si="9"/>
        <v>12</v>
      </c>
      <c r="D84" s="16">
        <f t="shared" si="10"/>
        <v>9</v>
      </c>
      <c r="E84" s="17">
        <f>'1.1'!F84</f>
        <v>4</v>
      </c>
      <c r="F84" s="13">
        <f>'1.2'!C84</f>
        <v>0</v>
      </c>
      <c r="G84" s="13">
        <f>'1.3'!C84</f>
        <v>2</v>
      </c>
      <c r="H84" s="13">
        <f>'1.4'!E85</f>
        <v>1</v>
      </c>
      <c r="I84" s="13">
        <f>'1.5'!E85</f>
        <v>2</v>
      </c>
    </row>
    <row r="85" spans="1:9" ht="16" customHeight="1">
      <c r="A85" s="228" t="s">
        <v>72</v>
      </c>
      <c r="B85" s="16">
        <f t="shared" si="8"/>
        <v>83.3</v>
      </c>
      <c r="C85" s="16">
        <f t="shared" si="9"/>
        <v>12</v>
      </c>
      <c r="D85" s="16">
        <f t="shared" si="10"/>
        <v>10</v>
      </c>
      <c r="E85" s="17">
        <f>'1.1'!F85</f>
        <v>4</v>
      </c>
      <c r="F85" s="13">
        <f>'1.2'!C85</f>
        <v>2</v>
      </c>
      <c r="G85" s="13">
        <f>'1.3'!C85</f>
        <v>2</v>
      </c>
      <c r="H85" s="13">
        <f>'1.4'!E86</f>
        <v>2</v>
      </c>
      <c r="I85" s="13">
        <f>'1.5'!E86</f>
        <v>0</v>
      </c>
    </row>
    <row r="86" spans="1:9" ht="16" customHeight="1">
      <c r="A86" s="228" t="s">
        <v>73</v>
      </c>
      <c r="B86" s="16">
        <f t="shared" si="8"/>
        <v>75</v>
      </c>
      <c r="C86" s="16">
        <f t="shared" si="9"/>
        <v>12</v>
      </c>
      <c r="D86" s="16">
        <f t="shared" si="10"/>
        <v>9</v>
      </c>
      <c r="E86" s="17">
        <f>'1.1'!F86</f>
        <v>4</v>
      </c>
      <c r="F86" s="13">
        <f>'1.2'!C86</f>
        <v>0</v>
      </c>
      <c r="G86" s="13">
        <f>'1.3'!C86</f>
        <v>2</v>
      </c>
      <c r="H86" s="13">
        <f>'1.4'!E87</f>
        <v>1</v>
      </c>
      <c r="I86" s="13">
        <f>'1.5'!E87</f>
        <v>2</v>
      </c>
    </row>
    <row r="87" spans="1:9" ht="16" customHeight="1">
      <c r="A87" s="227" t="s">
        <v>74</v>
      </c>
      <c r="B87" s="26"/>
      <c r="C87" s="26"/>
      <c r="D87" s="26"/>
      <c r="E87" s="27"/>
      <c r="F87" s="28"/>
      <c r="G87" s="28"/>
      <c r="H87" s="28"/>
      <c r="I87" s="28"/>
    </row>
    <row r="88" spans="1:9" ht="16" customHeight="1">
      <c r="A88" s="228" t="s">
        <v>64</v>
      </c>
      <c r="B88" s="16">
        <f t="shared" si="8"/>
        <v>91.7</v>
      </c>
      <c r="C88" s="16">
        <f t="shared" si="9"/>
        <v>12</v>
      </c>
      <c r="D88" s="16">
        <f t="shared" ref="D88:D98" si="11">SUM(E88:I88)</f>
        <v>11</v>
      </c>
      <c r="E88" s="17">
        <f>'1.1'!F88</f>
        <v>4</v>
      </c>
      <c r="F88" s="13">
        <f>'1.2'!C88</f>
        <v>2</v>
      </c>
      <c r="G88" s="13">
        <f>'1.3'!C88</f>
        <v>2</v>
      </c>
      <c r="H88" s="13">
        <f>'1.4'!E89</f>
        <v>1</v>
      </c>
      <c r="I88" s="13">
        <f>'1.5'!E89</f>
        <v>2</v>
      </c>
    </row>
    <row r="89" spans="1:9" ht="16" customHeight="1">
      <c r="A89" s="228" t="s">
        <v>75</v>
      </c>
      <c r="B89" s="16">
        <f t="shared" si="8"/>
        <v>91.7</v>
      </c>
      <c r="C89" s="16">
        <f t="shared" si="9"/>
        <v>12</v>
      </c>
      <c r="D89" s="16">
        <f t="shared" si="11"/>
        <v>11</v>
      </c>
      <c r="E89" s="17">
        <f>'1.1'!F89</f>
        <v>4</v>
      </c>
      <c r="F89" s="13">
        <f>'1.2'!C89</f>
        <v>2</v>
      </c>
      <c r="G89" s="13">
        <f>'1.3'!C89</f>
        <v>2</v>
      </c>
      <c r="H89" s="13">
        <f>'1.4'!E90</f>
        <v>2</v>
      </c>
      <c r="I89" s="13">
        <f>'1.5'!E90</f>
        <v>1</v>
      </c>
    </row>
    <row r="90" spans="1:9" ht="16" customHeight="1">
      <c r="A90" s="228" t="s">
        <v>68</v>
      </c>
      <c r="B90" s="16">
        <f t="shared" si="8"/>
        <v>75</v>
      </c>
      <c r="C90" s="16">
        <f t="shared" si="9"/>
        <v>12</v>
      </c>
      <c r="D90" s="16">
        <f t="shared" si="11"/>
        <v>9</v>
      </c>
      <c r="E90" s="17">
        <f>'1.1'!F90</f>
        <v>4</v>
      </c>
      <c r="F90" s="13">
        <f>'1.2'!C90</f>
        <v>0</v>
      </c>
      <c r="G90" s="13">
        <f>'1.3'!C90</f>
        <v>2</v>
      </c>
      <c r="H90" s="13">
        <f>'1.4'!E91</f>
        <v>2</v>
      </c>
      <c r="I90" s="13">
        <f>'1.5'!E91</f>
        <v>1</v>
      </c>
    </row>
    <row r="91" spans="1:9" ht="16" customHeight="1">
      <c r="A91" s="228" t="s">
        <v>76</v>
      </c>
      <c r="B91" s="16">
        <f t="shared" si="8"/>
        <v>91.7</v>
      </c>
      <c r="C91" s="16">
        <f t="shared" si="9"/>
        <v>12</v>
      </c>
      <c r="D91" s="16">
        <f t="shared" si="11"/>
        <v>11</v>
      </c>
      <c r="E91" s="17">
        <f>'1.1'!F91</f>
        <v>4</v>
      </c>
      <c r="F91" s="13">
        <f>'1.2'!C91</f>
        <v>2</v>
      </c>
      <c r="G91" s="13">
        <f>'1.3'!C91</f>
        <v>2</v>
      </c>
      <c r="H91" s="13">
        <f>'1.4'!E92</f>
        <v>1</v>
      </c>
      <c r="I91" s="13">
        <f>'1.5'!E92</f>
        <v>2</v>
      </c>
    </row>
    <row r="92" spans="1:9" ht="16" customHeight="1">
      <c r="A92" s="228" t="s">
        <v>77</v>
      </c>
      <c r="B92" s="16">
        <f t="shared" si="8"/>
        <v>91.7</v>
      </c>
      <c r="C92" s="16">
        <f t="shared" si="9"/>
        <v>12</v>
      </c>
      <c r="D92" s="16">
        <f t="shared" si="11"/>
        <v>11</v>
      </c>
      <c r="E92" s="17">
        <f>'1.1'!F92</f>
        <v>4</v>
      </c>
      <c r="F92" s="13">
        <f>'1.2'!C92</f>
        <v>2</v>
      </c>
      <c r="G92" s="13">
        <f>'1.3'!C92</f>
        <v>2</v>
      </c>
      <c r="H92" s="13">
        <f>'1.4'!E93</f>
        <v>1</v>
      </c>
      <c r="I92" s="13">
        <f>'1.5'!E93</f>
        <v>2</v>
      </c>
    </row>
    <row r="93" spans="1:9" ht="16" customHeight="1">
      <c r="A93" s="228" t="s">
        <v>78</v>
      </c>
      <c r="B93" s="16">
        <f t="shared" si="8"/>
        <v>83.3</v>
      </c>
      <c r="C93" s="16">
        <f t="shared" si="9"/>
        <v>12</v>
      </c>
      <c r="D93" s="16">
        <f t="shared" si="11"/>
        <v>10</v>
      </c>
      <c r="E93" s="17">
        <f>'1.1'!F93</f>
        <v>4</v>
      </c>
      <c r="F93" s="13">
        <f>'1.2'!C93</f>
        <v>2</v>
      </c>
      <c r="G93" s="13">
        <f>'1.3'!C93</f>
        <v>2</v>
      </c>
      <c r="H93" s="13">
        <f>'1.4'!E94</f>
        <v>2</v>
      </c>
      <c r="I93" s="13">
        <f>'1.5'!E94</f>
        <v>0</v>
      </c>
    </row>
    <row r="94" spans="1:9" ht="16" customHeight="1">
      <c r="A94" s="228" t="s">
        <v>79</v>
      </c>
      <c r="B94" s="16">
        <f t="shared" si="8"/>
        <v>58.3</v>
      </c>
      <c r="C94" s="16">
        <f t="shared" si="9"/>
        <v>12</v>
      </c>
      <c r="D94" s="16">
        <f t="shared" si="11"/>
        <v>7</v>
      </c>
      <c r="E94" s="17">
        <f>'1.1'!F94</f>
        <v>0</v>
      </c>
      <c r="F94" s="13">
        <f>'1.2'!C94</f>
        <v>2</v>
      </c>
      <c r="G94" s="13">
        <f>'1.3'!C94</f>
        <v>2</v>
      </c>
      <c r="H94" s="13">
        <f>'1.4'!E95</f>
        <v>1</v>
      </c>
      <c r="I94" s="13">
        <f>'1.5'!E95</f>
        <v>2</v>
      </c>
    </row>
    <row r="95" spans="1:9" ht="16" customHeight="1">
      <c r="A95" s="228" t="s">
        <v>80</v>
      </c>
      <c r="B95" s="16">
        <f t="shared" si="8"/>
        <v>58.3</v>
      </c>
      <c r="C95" s="16">
        <f t="shared" si="9"/>
        <v>12</v>
      </c>
      <c r="D95" s="16">
        <f t="shared" si="11"/>
        <v>7</v>
      </c>
      <c r="E95" s="17">
        <f>'1.1'!F95</f>
        <v>0</v>
      </c>
      <c r="F95" s="13">
        <f>'1.2'!C95</f>
        <v>2</v>
      </c>
      <c r="G95" s="13">
        <f>'1.3'!C95</f>
        <v>2</v>
      </c>
      <c r="H95" s="13">
        <f>'1.4'!E96</f>
        <v>1</v>
      </c>
      <c r="I95" s="13">
        <f>'1.5'!E96</f>
        <v>2</v>
      </c>
    </row>
    <row r="96" spans="1:9" ht="16" customHeight="1">
      <c r="A96" s="228" t="s">
        <v>81</v>
      </c>
      <c r="B96" s="16">
        <f t="shared" si="8"/>
        <v>83.3</v>
      </c>
      <c r="C96" s="16">
        <f t="shared" si="9"/>
        <v>12</v>
      </c>
      <c r="D96" s="16">
        <f t="shared" si="11"/>
        <v>10</v>
      </c>
      <c r="E96" s="17">
        <f>'1.1'!F96</f>
        <v>4</v>
      </c>
      <c r="F96" s="13">
        <f>'1.2'!C96</f>
        <v>2</v>
      </c>
      <c r="G96" s="13">
        <f>'1.3'!C96</f>
        <v>2</v>
      </c>
      <c r="H96" s="13">
        <f>'1.4'!E97</f>
        <v>0</v>
      </c>
      <c r="I96" s="13">
        <f>'1.5'!E97</f>
        <v>2</v>
      </c>
    </row>
    <row r="97" spans="1:9" ht="16" customHeight="1">
      <c r="A97" s="228" t="s">
        <v>82</v>
      </c>
      <c r="B97" s="16">
        <f t="shared" si="8"/>
        <v>83.3</v>
      </c>
      <c r="C97" s="16">
        <f t="shared" si="9"/>
        <v>12</v>
      </c>
      <c r="D97" s="16">
        <f t="shared" si="11"/>
        <v>10</v>
      </c>
      <c r="E97" s="17">
        <f>'1.1'!F97</f>
        <v>2</v>
      </c>
      <c r="F97" s="13">
        <f>'1.2'!C97</f>
        <v>2</v>
      </c>
      <c r="G97" s="13">
        <f>'1.3'!C97</f>
        <v>2</v>
      </c>
      <c r="H97" s="13">
        <f>'1.4'!E98</f>
        <v>2</v>
      </c>
      <c r="I97" s="13">
        <f>'1.5'!E98</f>
        <v>2</v>
      </c>
    </row>
    <row r="98" spans="1:9" ht="16" customHeight="1">
      <c r="A98" s="228" t="s">
        <v>83</v>
      </c>
      <c r="B98" s="16">
        <f t="shared" si="8"/>
        <v>83.3</v>
      </c>
      <c r="C98" s="16">
        <f t="shared" si="9"/>
        <v>12</v>
      </c>
      <c r="D98" s="16">
        <f t="shared" si="11"/>
        <v>10</v>
      </c>
      <c r="E98" s="17">
        <f>'1.1'!F98</f>
        <v>2</v>
      </c>
      <c r="F98" s="13">
        <f>'1.2'!C98</f>
        <v>2</v>
      </c>
      <c r="G98" s="13">
        <f>'1.3'!C98</f>
        <v>2</v>
      </c>
      <c r="H98" s="13">
        <f>'1.4'!E99</f>
        <v>2</v>
      </c>
      <c r="I98" s="13">
        <f>'1.5'!E99</f>
        <v>2</v>
      </c>
    </row>
    <row r="99" spans="1:9" ht="31" customHeight="1">
      <c r="A99" s="231" t="s">
        <v>690</v>
      </c>
      <c r="B99" s="232"/>
      <c r="C99" s="232"/>
      <c r="D99" s="232"/>
      <c r="E99" s="232"/>
      <c r="F99" s="232"/>
      <c r="G99" s="232"/>
      <c r="H99" s="232"/>
      <c r="I99" s="232"/>
    </row>
  </sheetData>
  <mergeCells count="1">
    <mergeCell ref="A99:I99"/>
  </mergeCells>
  <pageMargins left="0.70866141732283472" right="0.70866141732283472" top="0.74803149606299213" bottom="0.74803149606299213" header="0.31496062992125984" footer="0.31496062992125984"/>
  <pageSetup paperSize="9" scale="66" fitToHeight="0" orientation="landscape" r:id="rId1"/>
  <headerFooter scaleWithDoc="0">
    <oddFooter>&amp;C&amp;"Times New Roman,обычный"&amp;A&amp;R&amp;P</oddFooter>
  </headerFooter>
  <ignoredErrors>
    <ignoredError sqref="C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7"/>
  <sheetViews>
    <sheetView zoomScaleNormal="100" workbookViewId="0">
      <selection sqref="A1:E1"/>
    </sheetView>
  </sheetViews>
  <sheetFormatPr baseColWidth="10" defaultColWidth="8.83203125" defaultRowHeight="15"/>
  <cols>
    <col min="1" max="1" width="5.6640625" style="8" customWidth="1"/>
    <col min="2" max="2" width="127.1640625" customWidth="1"/>
    <col min="3" max="3" width="9.6640625" customWidth="1"/>
    <col min="4" max="4" width="11.5" customWidth="1"/>
    <col min="5" max="5" width="10.83203125" customWidth="1"/>
  </cols>
  <sheetData>
    <row r="1" spans="1:5" ht="23" customHeight="1">
      <c r="A1" s="236" t="s">
        <v>688</v>
      </c>
      <c r="B1" s="237"/>
      <c r="C1" s="237"/>
      <c r="D1" s="237"/>
      <c r="E1" s="237"/>
    </row>
    <row r="2" spans="1:5" ht="30" customHeight="1">
      <c r="A2" s="238" t="s">
        <v>107</v>
      </c>
      <c r="B2" s="239" t="s">
        <v>86</v>
      </c>
      <c r="C2" s="239" t="s">
        <v>87</v>
      </c>
      <c r="D2" s="239" t="s">
        <v>88</v>
      </c>
      <c r="E2" s="239"/>
    </row>
    <row r="3" spans="1:5">
      <c r="A3" s="238"/>
      <c r="B3" s="239"/>
      <c r="C3" s="239"/>
      <c r="D3" s="209" t="s">
        <v>92</v>
      </c>
      <c r="E3" s="209" t="s">
        <v>108</v>
      </c>
    </row>
    <row r="4" spans="1:5" ht="17" customHeight="1">
      <c r="A4" s="233">
        <v>1</v>
      </c>
      <c r="B4" s="210" t="s">
        <v>141</v>
      </c>
      <c r="C4" s="235">
        <v>12</v>
      </c>
      <c r="D4" s="235"/>
      <c r="E4" s="235"/>
    </row>
    <row r="5" spans="1:5" ht="30">
      <c r="A5" s="233"/>
      <c r="B5" s="211" t="s">
        <v>236</v>
      </c>
      <c r="C5" s="235"/>
      <c r="D5" s="235"/>
      <c r="E5" s="235"/>
    </row>
    <row r="6" spans="1:5" ht="30">
      <c r="A6" s="233" t="s">
        <v>95</v>
      </c>
      <c r="B6" s="210" t="s">
        <v>233</v>
      </c>
      <c r="C6" s="234"/>
      <c r="D6" s="234"/>
      <c r="E6" s="234"/>
    </row>
    <row r="7" spans="1:5" ht="45">
      <c r="A7" s="233"/>
      <c r="B7" s="211" t="s">
        <v>207</v>
      </c>
      <c r="C7" s="234"/>
      <c r="D7" s="234"/>
      <c r="E7" s="234"/>
    </row>
    <row r="8" spans="1:5" ht="30">
      <c r="A8" s="233"/>
      <c r="B8" s="211" t="s">
        <v>139</v>
      </c>
      <c r="C8" s="234"/>
      <c r="D8" s="234"/>
      <c r="E8" s="234"/>
    </row>
    <row r="9" spans="1:5" ht="30">
      <c r="A9" s="233"/>
      <c r="B9" s="211" t="s">
        <v>140</v>
      </c>
      <c r="C9" s="234"/>
      <c r="D9" s="234"/>
      <c r="E9" s="234"/>
    </row>
    <row r="10" spans="1:5">
      <c r="A10" s="212"/>
      <c r="B10" s="213" t="s">
        <v>109</v>
      </c>
      <c r="C10" s="214">
        <v>4</v>
      </c>
      <c r="D10" s="214">
        <v>0.5</v>
      </c>
      <c r="E10" s="214">
        <v>0.5</v>
      </c>
    </row>
    <row r="11" spans="1:5">
      <c r="A11" s="212"/>
      <c r="B11" s="213" t="s">
        <v>110</v>
      </c>
      <c r="C11" s="214">
        <v>0</v>
      </c>
      <c r="D11" s="214"/>
      <c r="E11" s="214"/>
    </row>
    <row r="12" spans="1:5" ht="30">
      <c r="A12" s="233" t="s">
        <v>96</v>
      </c>
      <c r="B12" s="210" t="s">
        <v>234</v>
      </c>
      <c r="C12" s="234"/>
      <c r="D12" s="234"/>
      <c r="E12" s="234"/>
    </row>
    <row r="13" spans="1:5" ht="58.5" customHeight="1">
      <c r="A13" s="233"/>
      <c r="B13" s="211" t="s">
        <v>189</v>
      </c>
      <c r="C13" s="234"/>
      <c r="D13" s="234"/>
      <c r="E13" s="234"/>
    </row>
    <row r="14" spans="1:5">
      <c r="A14" s="215"/>
      <c r="B14" s="213" t="s">
        <v>94</v>
      </c>
      <c r="C14" s="214">
        <v>2</v>
      </c>
      <c r="D14" s="214"/>
      <c r="E14" s="214"/>
    </row>
    <row r="15" spans="1:5">
      <c r="A15" s="215"/>
      <c r="B15" s="213" t="s">
        <v>93</v>
      </c>
      <c r="C15" s="214">
        <v>0</v>
      </c>
      <c r="D15" s="214"/>
      <c r="E15" s="214"/>
    </row>
    <row r="16" spans="1:5" ht="30">
      <c r="A16" s="212" t="s">
        <v>97</v>
      </c>
      <c r="B16" s="210" t="s">
        <v>235</v>
      </c>
      <c r="C16" s="214"/>
      <c r="D16" s="214"/>
      <c r="E16" s="214"/>
    </row>
    <row r="17" spans="1:5">
      <c r="A17" s="212"/>
      <c r="B17" s="213" t="s">
        <v>94</v>
      </c>
      <c r="C17" s="214">
        <v>2</v>
      </c>
      <c r="D17" s="214"/>
      <c r="E17" s="214"/>
    </row>
    <row r="18" spans="1:5">
      <c r="A18" s="212"/>
      <c r="B18" s="213" t="s">
        <v>103</v>
      </c>
      <c r="C18" s="214">
        <v>0</v>
      </c>
      <c r="D18" s="214"/>
      <c r="E18" s="214"/>
    </row>
    <row r="19" spans="1:5" ht="45">
      <c r="A19" s="233" t="s">
        <v>98</v>
      </c>
      <c r="B19" s="210" t="s">
        <v>376</v>
      </c>
      <c r="C19" s="234"/>
      <c r="D19" s="234"/>
      <c r="E19" s="234"/>
    </row>
    <row r="20" spans="1:5" ht="58" customHeight="1">
      <c r="A20" s="233"/>
      <c r="B20" s="211" t="s">
        <v>372</v>
      </c>
      <c r="C20" s="234"/>
      <c r="D20" s="234"/>
      <c r="E20" s="234"/>
    </row>
    <row r="21" spans="1:5" ht="45">
      <c r="A21" s="233"/>
      <c r="B21" s="211" t="s">
        <v>386</v>
      </c>
      <c r="C21" s="234"/>
      <c r="D21" s="234"/>
      <c r="E21" s="234"/>
    </row>
    <row r="22" spans="1:5" ht="45">
      <c r="A22" s="233"/>
      <c r="B22" s="216" t="s">
        <v>387</v>
      </c>
      <c r="C22" s="234"/>
      <c r="D22" s="234"/>
      <c r="E22" s="234"/>
    </row>
    <row r="23" spans="1:5" ht="45" customHeight="1">
      <c r="A23" s="233"/>
      <c r="B23" s="211" t="s">
        <v>388</v>
      </c>
      <c r="C23" s="234"/>
      <c r="D23" s="234"/>
      <c r="E23" s="234"/>
    </row>
    <row r="24" spans="1:5" ht="44" customHeight="1">
      <c r="A24" s="233"/>
      <c r="B24" s="211" t="s">
        <v>208</v>
      </c>
      <c r="C24" s="214"/>
      <c r="D24" s="214"/>
      <c r="E24" s="214"/>
    </row>
    <row r="25" spans="1:5" ht="31" customHeight="1">
      <c r="A25" s="233"/>
      <c r="B25" s="211" t="s">
        <v>389</v>
      </c>
      <c r="C25" s="214"/>
      <c r="D25" s="214"/>
      <c r="E25" s="214"/>
    </row>
    <row r="26" spans="1:5">
      <c r="A26" s="212"/>
      <c r="B26" s="213" t="s">
        <v>383</v>
      </c>
      <c r="C26" s="214">
        <v>2</v>
      </c>
      <c r="D26" s="214">
        <v>0.5</v>
      </c>
      <c r="E26" s="214"/>
    </row>
    <row r="27" spans="1:5" ht="30">
      <c r="A27" s="212"/>
      <c r="B27" s="213" t="s">
        <v>384</v>
      </c>
      <c r="C27" s="214">
        <v>1</v>
      </c>
      <c r="D27" s="214">
        <v>0.5</v>
      </c>
      <c r="E27" s="214"/>
    </row>
    <row r="28" spans="1:5">
      <c r="A28" s="212"/>
      <c r="B28" s="213" t="s">
        <v>385</v>
      </c>
      <c r="C28" s="214">
        <v>0</v>
      </c>
      <c r="D28" s="214"/>
      <c r="E28" s="214"/>
    </row>
    <row r="29" spans="1:5" ht="45">
      <c r="A29" s="233" t="s">
        <v>99</v>
      </c>
      <c r="B29" s="210" t="s">
        <v>375</v>
      </c>
      <c r="C29" s="217"/>
      <c r="D29" s="217"/>
      <c r="E29" s="217"/>
    </row>
    <row r="30" spans="1:5" ht="72" customHeight="1">
      <c r="A30" s="233"/>
      <c r="B30" s="211" t="s">
        <v>411</v>
      </c>
      <c r="C30" s="217"/>
      <c r="D30" s="217"/>
      <c r="E30" s="217"/>
    </row>
    <row r="31" spans="1:5" ht="45">
      <c r="A31" s="233"/>
      <c r="B31" s="211" t="s">
        <v>377</v>
      </c>
      <c r="C31" s="217"/>
      <c r="D31" s="217"/>
      <c r="E31" s="217"/>
    </row>
    <row r="32" spans="1:5" ht="30">
      <c r="A32" s="233"/>
      <c r="B32" s="218" t="s">
        <v>378</v>
      </c>
      <c r="C32" s="217"/>
      <c r="D32" s="217"/>
      <c r="E32" s="217"/>
    </row>
    <row r="33" spans="1:5" ht="101" customHeight="1">
      <c r="A33" s="212"/>
      <c r="B33" s="218" t="s">
        <v>379</v>
      </c>
      <c r="C33" s="217"/>
      <c r="D33" s="217"/>
      <c r="E33" s="217"/>
    </row>
    <row r="34" spans="1:5" ht="45">
      <c r="A34" s="212"/>
      <c r="B34" s="218" t="s">
        <v>380</v>
      </c>
      <c r="C34" s="217"/>
      <c r="D34" s="217"/>
      <c r="E34" s="217"/>
    </row>
    <row r="35" spans="1:5">
      <c r="A35" s="215"/>
      <c r="B35" s="213" t="s">
        <v>412</v>
      </c>
      <c r="C35" s="214">
        <v>2</v>
      </c>
      <c r="D35" s="214">
        <v>0.5</v>
      </c>
      <c r="E35" s="214"/>
    </row>
    <row r="36" spans="1:5">
      <c r="A36" s="215"/>
      <c r="B36" s="213" t="s">
        <v>413</v>
      </c>
      <c r="C36" s="214">
        <v>1</v>
      </c>
      <c r="D36" s="214">
        <v>0.5</v>
      </c>
      <c r="E36" s="214"/>
    </row>
    <row r="37" spans="1:5">
      <c r="A37" s="215"/>
      <c r="B37" s="213" t="s">
        <v>190</v>
      </c>
      <c r="C37" s="214">
        <v>0</v>
      </c>
      <c r="D37" s="214"/>
      <c r="E37" s="214"/>
    </row>
  </sheetData>
  <mergeCells count="22">
    <mergeCell ref="A1:E1"/>
    <mergeCell ref="A2:A3"/>
    <mergeCell ref="B2:B3"/>
    <mergeCell ref="C2:C3"/>
    <mergeCell ref="D2:E2"/>
    <mergeCell ref="A4:A5"/>
    <mergeCell ref="E12:E13"/>
    <mergeCell ref="C4:C5"/>
    <mergeCell ref="D4:D5"/>
    <mergeCell ref="E4:E5"/>
    <mergeCell ref="A6:A9"/>
    <mergeCell ref="C6:C9"/>
    <mergeCell ref="A29:A32"/>
    <mergeCell ref="D6:D9"/>
    <mergeCell ref="E6:E9"/>
    <mergeCell ref="E19:E23"/>
    <mergeCell ref="C19:C23"/>
    <mergeCell ref="D19:D23"/>
    <mergeCell ref="A12:A13"/>
    <mergeCell ref="C12:C13"/>
    <mergeCell ref="D12:D13"/>
    <mergeCell ref="A19:A25"/>
  </mergeCells>
  <pageMargins left="0.70866141732283472" right="0.70866141732283472" top="0.74803149606299213" bottom="0.74803149606299213" header="0.31496062992125984" footer="0.31496062992125984"/>
  <pageSetup paperSize="9" scale="85" fitToHeight="0" orientation="landscape" r:id="rId1"/>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8"/>
  <sheetViews>
    <sheetView zoomScaleNormal="100" zoomScaleSheetLayoutView="80" workbookViewId="0">
      <pane ySplit="6" topLeftCell="A7" activePane="bottomLeft" state="frozen"/>
      <selection activeCell="G33" sqref="G33:G2385"/>
      <selection pane="bottomLeft" sqref="A1:P1"/>
    </sheetView>
  </sheetViews>
  <sheetFormatPr baseColWidth="10" defaultColWidth="8.83203125" defaultRowHeight="15"/>
  <cols>
    <col min="1" max="1" width="24.83203125" style="3" customWidth="1"/>
    <col min="2" max="2" width="33" style="85" customWidth="1"/>
    <col min="3" max="3" width="5.5" style="86" customWidth="1"/>
    <col min="4" max="5" width="4.5" style="86" customWidth="1"/>
    <col min="6" max="6" width="5.5" style="67" customWidth="1"/>
    <col min="7" max="7" width="12.33203125" style="88" customWidth="1"/>
    <col min="8" max="9" width="10.5" style="67" customWidth="1"/>
    <col min="10" max="10" width="11.6640625" style="67" customWidth="1"/>
    <col min="11" max="11" width="11.1640625" style="67" customWidth="1"/>
    <col min="12" max="12" width="10.5" style="67" customWidth="1"/>
    <col min="13" max="13" width="11.1640625" style="67" customWidth="1"/>
    <col min="14" max="14" width="15.5" style="67" customWidth="1"/>
    <col min="15" max="15" width="20.5" style="67" customWidth="1"/>
    <col min="16" max="16" width="20.5" style="14" customWidth="1"/>
    <col min="17" max="17" width="8.83203125" style="78"/>
  </cols>
  <sheetData>
    <row r="1" spans="1:17" s="1" customFormat="1" ht="30" customHeight="1">
      <c r="A1" s="241" t="s">
        <v>228</v>
      </c>
      <c r="B1" s="241"/>
      <c r="C1" s="241"/>
      <c r="D1" s="241"/>
      <c r="E1" s="241"/>
      <c r="F1" s="241"/>
      <c r="G1" s="242"/>
      <c r="H1" s="241"/>
      <c r="I1" s="241"/>
      <c r="J1" s="241"/>
      <c r="K1" s="241"/>
      <c r="L1" s="241"/>
      <c r="M1" s="241"/>
      <c r="N1" s="241"/>
      <c r="O1" s="241"/>
      <c r="P1" s="241"/>
      <c r="Q1" s="164"/>
    </row>
    <row r="2" spans="1:17" s="1" customFormat="1" ht="16" customHeight="1">
      <c r="A2" s="242" t="s">
        <v>655</v>
      </c>
      <c r="B2" s="231"/>
      <c r="C2" s="231"/>
      <c r="D2" s="231"/>
      <c r="E2" s="231"/>
      <c r="F2" s="231"/>
      <c r="G2" s="242"/>
      <c r="H2" s="231"/>
      <c r="I2" s="231"/>
      <c r="J2" s="231"/>
      <c r="K2" s="231"/>
      <c r="L2" s="231"/>
      <c r="M2" s="231"/>
      <c r="N2" s="243"/>
      <c r="O2" s="231"/>
      <c r="P2" s="231"/>
      <c r="Q2" s="164"/>
    </row>
    <row r="3" spans="1:17" ht="62" customHeight="1">
      <c r="A3" s="240" t="s">
        <v>675</v>
      </c>
      <c r="B3" s="222" t="str">
        <f>'Оценка (раздел 1)'!E3</f>
        <v>1.1 Размещен ли первоначально принятый закон о бюджете на 2022 год и на плановый период 2023 и 2024 годов в открытом доступе на сайте, предназначенном для размещения бюджетных данных?</v>
      </c>
      <c r="C3" s="245" t="s">
        <v>113</v>
      </c>
      <c r="D3" s="245"/>
      <c r="E3" s="245"/>
      <c r="F3" s="245"/>
      <c r="G3" s="244" t="s">
        <v>449</v>
      </c>
      <c r="H3" s="244" t="s">
        <v>131</v>
      </c>
      <c r="I3" s="244" t="s">
        <v>167</v>
      </c>
      <c r="J3" s="240" t="s">
        <v>209</v>
      </c>
      <c r="K3" s="240" t="s">
        <v>210</v>
      </c>
      <c r="L3" s="240" t="s">
        <v>211</v>
      </c>
      <c r="M3" s="240" t="s">
        <v>212</v>
      </c>
      <c r="N3" s="244" t="s">
        <v>115</v>
      </c>
      <c r="O3" s="240" t="s">
        <v>116</v>
      </c>
      <c r="P3" s="244"/>
    </row>
    <row r="4" spans="1:17" ht="30" customHeight="1">
      <c r="A4" s="244"/>
      <c r="B4" s="223" t="str">
        <f>'Методика (раздел 1)'!B10</f>
        <v xml:space="preserve">Да, размещен </v>
      </c>
      <c r="C4" s="240" t="s">
        <v>91</v>
      </c>
      <c r="D4" s="244" t="s">
        <v>92</v>
      </c>
      <c r="E4" s="244" t="s">
        <v>108</v>
      </c>
      <c r="F4" s="245" t="s">
        <v>90</v>
      </c>
      <c r="G4" s="244"/>
      <c r="H4" s="244"/>
      <c r="I4" s="244"/>
      <c r="J4" s="244"/>
      <c r="K4" s="240"/>
      <c r="L4" s="244"/>
      <c r="M4" s="244"/>
      <c r="N4" s="244"/>
      <c r="O4" s="244" t="s">
        <v>117</v>
      </c>
      <c r="P4" s="244" t="s">
        <v>118</v>
      </c>
    </row>
    <row r="5" spans="1:17" ht="30" customHeight="1">
      <c r="A5" s="244"/>
      <c r="B5" s="223" t="str">
        <f>'Методика (раздел 1)'!B11</f>
        <v>Нет, в установленные сроки не размещен</v>
      </c>
      <c r="C5" s="240"/>
      <c r="D5" s="244"/>
      <c r="E5" s="244"/>
      <c r="F5" s="245"/>
      <c r="G5" s="244"/>
      <c r="H5" s="244"/>
      <c r="I5" s="244"/>
      <c r="J5" s="244"/>
      <c r="K5" s="240"/>
      <c r="L5" s="244"/>
      <c r="M5" s="244"/>
      <c r="N5" s="244"/>
      <c r="O5" s="244"/>
      <c r="P5" s="244"/>
    </row>
    <row r="6" spans="1:17" ht="16" customHeight="1">
      <c r="A6" s="227" t="s">
        <v>0</v>
      </c>
      <c r="B6" s="153"/>
      <c r="C6" s="153"/>
      <c r="D6" s="153"/>
      <c r="E6" s="153"/>
      <c r="F6" s="224"/>
      <c r="G6" s="225"/>
      <c r="H6" s="157"/>
      <c r="I6" s="157"/>
      <c r="J6" s="226"/>
      <c r="K6" s="226"/>
      <c r="L6" s="226"/>
      <c r="M6" s="226"/>
      <c r="N6" s="226"/>
      <c r="O6" s="225"/>
      <c r="P6" s="225"/>
    </row>
    <row r="7" spans="1:17" ht="16" customHeight="1">
      <c r="A7" s="228" t="s">
        <v>1</v>
      </c>
      <c r="B7" s="139" t="s">
        <v>109</v>
      </c>
      <c r="C7" s="140">
        <f>IF(B7="Да, размещен ",4,0)</f>
        <v>4</v>
      </c>
      <c r="D7" s="141"/>
      <c r="E7" s="141"/>
      <c r="F7" s="142">
        <f>C7*(1-D7)*(1-E7)</f>
        <v>4</v>
      </c>
      <c r="G7" s="143" t="s">
        <v>198</v>
      </c>
      <c r="H7" s="144">
        <v>44546</v>
      </c>
      <c r="I7" s="144">
        <v>44551</v>
      </c>
      <c r="J7" s="145" t="s">
        <v>198</v>
      </c>
      <c r="K7" s="145" t="s">
        <v>198</v>
      </c>
      <c r="L7" s="145" t="s">
        <v>198</v>
      </c>
      <c r="M7" s="145" t="s">
        <v>198</v>
      </c>
      <c r="N7" s="146" t="s">
        <v>112</v>
      </c>
      <c r="O7" s="147" t="s">
        <v>240</v>
      </c>
      <c r="P7" s="147" t="s">
        <v>171</v>
      </c>
    </row>
    <row r="8" spans="1:17" ht="16" customHeight="1">
      <c r="A8" s="228" t="s">
        <v>2</v>
      </c>
      <c r="B8" s="139" t="s">
        <v>109</v>
      </c>
      <c r="C8" s="140">
        <f t="shared" ref="C8:C71" si="0">IF(B8="Да, размещен ",4,0)</f>
        <v>4</v>
      </c>
      <c r="D8" s="141"/>
      <c r="E8" s="141"/>
      <c r="F8" s="142">
        <f t="shared" ref="F8:F71" si="1">C8*(1-D8)*(1-E8)</f>
        <v>4</v>
      </c>
      <c r="G8" s="143" t="s">
        <v>198</v>
      </c>
      <c r="H8" s="144">
        <v>44543</v>
      </c>
      <c r="I8" s="144">
        <v>44544</v>
      </c>
      <c r="J8" s="145" t="s">
        <v>198</v>
      </c>
      <c r="K8" s="145" t="s">
        <v>198</v>
      </c>
      <c r="L8" s="145" t="s">
        <v>198</v>
      </c>
      <c r="M8" s="145" t="s">
        <v>198</v>
      </c>
      <c r="N8" s="146" t="s">
        <v>112</v>
      </c>
      <c r="O8" s="147" t="s">
        <v>172</v>
      </c>
      <c r="P8" s="147" t="s">
        <v>192</v>
      </c>
    </row>
    <row r="9" spans="1:17" ht="16" customHeight="1">
      <c r="A9" s="228" t="s">
        <v>3</v>
      </c>
      <c r="B9" s="139" t="s">
        <v>109</v>
      </c>
      <c r="C9" s="140">
        <f t="shared" si="0"/>
        <v>4</v>
      </c>
      <c r="D9" s="141"/>
      <c r="E9" s="141"/>
      <c r="F9" s="142">
        <f t="shared" si="1"/>
        <v>4</v>
      </c>
      <c r="G9" s="143" t="s">
        <v>198</v>
      </c>
      <c r="H9" s="144">
        <v>44553</v>
      </c>
      <c r="I9" s="144">
        <v>44554</v>
      </c>
      <c r="J9" s="145" t="s">
        <v>198</v>
      </c>
      <c r="K9" s="145" t="s">
        <v>198</v>
      </c>
      <c r="L9" s="145" t="s">
        <v>198</v>
      </c>
      <c r="M9" s="145" t="s">
        <v>198</v>
      </c>
      <c r="N9" s="146" t="s">
        <v>112</v>
      </c>
      <c r="O9" s="147" t="s">
        <v>124</v>
      </c>
      <c r="P9" s="147" t="s">
        <v>192</v>
      </c>
    </row>
    <row r="10" spans="1:17" ht="16" customHeight="1">
      <c r="A10" s="228" t="s">
        <v>4</v>
      </c>
      <c r="B10" s="139" t="s">
        <v>109</v>
      </c>
      <c r="C10" s="140">
        <f t="shared" si="0"/>
        <v>4</v>
      </c>
      <c r="D10" s="141"/>
      <c r="E10" s="141"/>
      <c r="F10" s="142">
        <f t="shared" si="1"/>
        <v>4</v>
      </c>
      <c r="G10" s="143" t="s">
        <v>198</v>
      </c>
      <c r="H10" s="144">
        <v>44544</v>
      </c>
      <c r="I10" s="144">
        <v>44546</v>
      </c>
      <c r="J10" s="145" t="s">
        <v>198</v>
      </c>
      <c r="K10" s="145" t="s">
        <v>198</v>
      </c>
      <c r="L10" s="145" t="s">
        <v>198</v>
      </c>
      <c r="M10" s="145" t="s">
        <v>198</v>
      </c>
      <c r="N10" s="146" t="s">
        <v>112</v>
      </c>
      <c r="O10" s="147" t="s">
        <v>241</v>
      </c>
      <c r="P10" s="147" t="s">
        <v>192</v>
      </c>
    </row>
    <row r="11" spans="1:17" ht="16" customHeight="1">
      <c r="A11" s="228" t="s">
        <v>5</v>
      </c>
      <c r="B11" s="139" t="s">
        <v>109</v>
      </c>
      <c r="C11" s="140">
        <f t="shared" si="0"/>
        <v>4</v>
      </c>
      <c r="D11" s="141"/>
      <c r="E11" s="141"/>
      <c r="F11" s="142">
        <f t="shared" si="1"/>
        <v>4</v>
      </c>
      <c r="G11" s="143" t="s">
        <v>198</v>
      </c>
      <c r="H11" s="144">
        <v>44545</v>
      </c>
      <c r="I11" s="144">
        <v>44545</v>
      </c>
      <c r="J11" s="145" t="s">
        <v>198</v>
      </c>
      <c r="K11" s="145" t="s">
        <v>198</v>
      </c>
      <c r="L11" s="145" t="s">
        <v>198</v>
      </c>
      <c r="M11" s="145" t="s">
        <v>198</v>
      </c>
      <c r="N11" s="146" t="s">
        <v>112</v>
      </c>
      <c r="O11" s="147" t="s">
        <v>142</v>
      </c>
      <c r="P11" s="147" t="s">
        <v>192</v>
      </c>
    </row>
    <row r="12" spans="1:17" ht="16" customHeight="1">
      <c r="A12" s="228" t="s">
        <v>6</v>
      </c>
      <c r="B12" s="139" t="s">
        <v>109</v>
      </c>
      <c r="C12" s="140">
        <f t="shared" si="0"/>
        <v>4</v>
      </c>
      <c r="D12" s="141"/>
      <c r="E12" s="141"/>
      <c r="F12" s="142">
        <f t="shared" si="1"/>
        <v>4</v>
      </c>
      <c r="G12" s="143" t="s">
        <v>198</v>
      </c>
      <c r="H12" s="144">
        <v>44533</v>
      </c>
      <c r="I12" s="144" t="s">
        <v>121</v>
      </c>
      <c r="J12" s="145" t="s">
        <v>198</v>
      </c>
      <c r="K12" s="145" t="s">
        <v>198</v>
      </c>
      <c r="L12" s="145" t="s">
        <v>198</v>
      </c>
      <c r="M12" s="145" t="s">
        <v>198</v>
      </c>
      <c r="N12" s="146" t="s">
        <v>112</v>
      </c>
      <c r="O12" s="147" t="s">
        <v>242</v>
      </c>
      <c r="P12" s="147" t="s">
        <v>192</v>
      </c>
    </row>
    <row r="13" spans="1:17" ht="16" customHeight="1">
      <c r="A13" s="228" t="s">
        <v>7</v>
      </c>
      <c r="B13" s="139" t="s">
        <v>109</v>
      </c>
      <c r="C13" s="140">
        <f t="shared" si="0"/>
        <v>4</v>
      </c>
      <c r="D13" s="141"/>
      <c r="E13" s="141"/>
      <c r="F13" s="142">
        <f t="shared" si="1"/>
        <v>4</v>
      </c>
      <c r="G13" s="143" t="s">
        <v>198</v>
      </c>
      <c r="H13" s="144">
        <v>44551</v>
      </c>
      <c r="I13" s="144" t="s">
        <v>121</v>
      </c>
      <c r="J13" s="145" t="s">
        <v>198</v>
      </c>
      <c r="K13" s="145" t="s">
        <v>198</v>
      </c>
      <c r="L13" s="145" t="s">
        <v>198</v>
      </c>
      <c r="M13" s="145" t="s">
        <v>198</v>
      </c>
      <c r="N13" s="146" t="s">
        <v>112</v>
      </c>
      <c r="O13" s="147" t="s">
        <v>243</v>
      </c>
      <c r="P13" s="147" t="s">
        <v>174</v>
      </c>
    </row>
    <row r="14" spans="1:17" ht="16" customHeight="1">
      <c r="A14" s="228" t="s">
        <v>8</v>
      </c>
      <c r="B14" s="139" t="s">
        <v>109</v>
      </c>
      <c r="C14" s="140">
        <f t="shared" si="0"/>
        <v>4</v>
      </c>
      <c r="D14" s="141"/>
      <c r="E14" s="141"/>
      <c r="F14" s="142">
        <f t="shared" si="1"/>
        <v>4</v>
      </c>
      <c r="G14" s="143" t="s">
        <v>198</v>
      </c>
      <c r="H14" s="144">
        <v>44537</v>
      </c>
      <c r="I14" s="144" t="s">
        <v>121</v>
      </c>
      <c r="J14" s="145" t="s">
        <v>198</v>
      </c>
      <c r="K14" s="145" t="s">
        <v>198</v>
      </c>
      <c r="L14" s="145" t="s">
        <v>198</v>
      </c>
      <c r="M14" s="145" t="s">
        <v>198</v>
      </c>
      <c r="N14" s="146" t="s">
        <v>112</v>
      </c>
      <c r="O14" s="147" t="s">
        <v>244</v>
      </c>
      <c r="P14" s="147" t="s">
        <v>192</v>
      </c>
    </row>
    <row r="15" spans="1:17" ht="16" customHeight="1">
      <c r="A15" s="228" t="s">
        <v>9</v>
      </c>
      <c r="B15" s="139" t="s">
        <v>109</v>
      </c>
      <c r="C15" s="140">
        <f t="shared" si="0"/>
        <v>4</v>
      </c>
      <c r="D15" s="141"/>
      <c r="E15" s="141"/>
      <c r="F15" s="142">
        <f t="shared" si="1"/>
        <v>4</v>
      </c>
      <c r="G15" s="143" t="s">
        <v>198</v>
      </c>
      <c r="H15" s="144">
        <v>44543</v>
      </c>
      <c r="I15" s="144">
        <v>44544</v>
      </c>
      <c r="J15" s="145" t="s">
        <v>198</v>
      </c>
      <c r="K15" s="145" t="s">
        <v>198</v>
      </c>
      <c r="L15" s="145" t="s">
        <v>198</v>
      </c>
      <c r="M15" s="145" t="s">
        <v>198</v>
      </c>
      <c r="N15" s="146" t="s">
        <v>112</v>
      </c>
      <c r="O15" s="147" t="s">
        <v>173</v>
      </c>
      <c r="P15" s="147" t="s">
        <v>192</v>
      </c>
    </row>
    <row r="16" spans="1:17" ht="16" customHeight="1">
      <c r="A16" s="228" t="s">
        <v>10</v>
      </c>
      <c r="B16" s="139" t="s">
        <v>109</v>
      </c>
      <c r="C16" s="140">
        <f t="shared" si="0"/>
        <v>4</v>
      </c>
      <c r="D16" s="141"/>
      <c r="E16" s="141"/>
      <c r="F16" s="142">
        <f t="shared" si="1"/>
        <v>4</v>
      </c>
      <c r="G16" s="143" t="s">
        <v>198</v>
      </c>
      <c r="H16" s="144">
        <v>44540</v>
      </c>
      <c r="I16" s="144">
        <v>44543</v>
      </c>
      <c r="J16" s="145" t="s">
        <v>198</v>
      </c>
      <c r="K16" s="145" t="s">
        <v>198</v>
      </c>
      <c r="L16" s="145" t="s">
        <v>198</v>
      </c>
      <c r="M16" s="145" t="s">
        <v>198</v>
      </c>
      <c r="N16" s="146" t="s">
        <v>112</v>
      </c>
      <c r="O16" s="147" t="s">
        <v>214</v>
      </c>
      <c r="P16" s="147" t="s">
        <v>125</v>
      </c>
      <c r="Q16" s="78" t="s">
        <v>112</v>
      </c>
    </row>
    <row r="17" spans="1:17" ht="16" customHeight="1">
      <c r="A17" s="228" t="s">
        <v>11</v>
      </c>
      <c r="B17" s="139" t="s">
        <v>110</v>
      </c>
      <c r="C17" s="140">
        <f t="shared" si="0"/>
        <v>0</v>
      </c>
      <c r="D17" s="141"/>
      <c r="E17" s="141"/>
      <c r="F17" s="142">
        <f t="shared" si="1"/>
        <v>0</v>
      </c>
      <c r="G17" s="143" t="s">
        <v>455</v>
      </c>
      <c r="H17" s="144">
        <v>44525</v>
      </c>
      <c r="I17" s="144">
        <v>44552</v>
      </c>
      <c r="J17" s="148" t="s">
        <v>112</v>
      </c>
      <c r="K17" s="148" t="s">
        <v>112</v>
      </c>
      <c r="L17" s="148" t="s">
        <v>112</v>
      </c>
      <c r="M17" s="148" t="s">
        <v>112</v>
      </c>
      <c r="N17" s="146" t="s">
        <v>451</v>
      </c>
      <c r="O17" s="147" t="s">
        <v>215</v>
      </c>
      <c r="P17" s="149" t="s">
        <v>452</v>
      </c>
      <c r="Q17" s="78" t="s">
        <v>112</v>
      </c>
    </row>
    <row r="18" spans="1:17" ht="16" customHeight="1">
      <c r="A18" s="228" t="s">
        <v>12</v>
      </c>
      <c r="B18" s="139" t="s">
        <v>109</v>
      </c>
      <c r="C18" s="140">
        <f t="shared" si="0"/>
        <v>4</v>
      </c>
      <c r="D18" s="141"/>
      <c r="E18" s="141"/>
      <c r="F18" s="142">
        <f t="shared" si="1"/>
        <v>4</v>
      </c>
      <c r="G18" s="143" t="s">
        <v>198</v>
      </c>
      <c r="H18" s="144">
        <v>44554</v>
      </c>
      <c r="I18" s="144">
        <v>44554</v>
      </c>
      <c r="J18" s="148" t="s">
        <v>198</v>
      </c>
      <c r="K18" s="148" t="s">
        <v>198</v>
      </c>
      <c r="L18" s="148" t="s">
        <v>198</v>
      </c>
      <c r="M18" s="148" t="s">
        <v>198</v>
      </c>
      <c r="N18" s="146" t="s">
        <v>112</v>
      </c>
      <c r="O18" s="147" t="s">
        <v>216</v>
      </c>
      <c r="P18" s="147" t="s">
        <v>171</v>
      </c>
    </row>
    <row r="19" spans="1:17" ht="16" customHeight="1">
      <c r="A19" s="228" t="s">
        <v>13</v>
      </c>
      <c r="B19" s="139" t="s">
        <v>109</v>
      </c>
      <c r="C19" s="140">
        <f t="shared" si="0"/>
        <v>4</v>
      </c>
      <c r="D19" s="141"/>
      <c r="E19" s="141">
        <v>0.5</v>
      </c>
      <c r="F19" s="142">
        <f t="shared" si="1"/>
        <v>2</v>
      </c>
      <c r="G19" s="143" t="s">
        <v>198</v>
      </c>
      <c r="H19" s="144">
        <v>44547</v>
      </c>
      <c r="I19" s="144">
        <v>44547</v>
      </c>
      <c r="J19" s="148" t="s">
        <v>198</v>
      </c>
      <c r="K19" s="148" t="s">
        <v>164</v>
      </c>
      <c r="L19" s="145" t="s">
        <v>112</v>
      </c>
      <c r="M19" s="145" t="s">
        <v>112</v>
      </c>
      <c r="N19" s="146" t="s">
        <v>463</v>
      </c>
      <c r="O19" s="147" t="s">
        <v>245</v>
      </c>
      <c r="P19" s="147" t="s">
        <v>192</v>
      </c>
    </row>
    <row r="20" spans="1:17" ht="16" customHeight="1">
      <c r="A20" s="228" t="s">
        <v>14</v>
      </c>
      <c r="B20" s="139" t="s">
        <v>109</v>
      </c>
      <c r="C20" s="140">
        <f t="shared" si="0"/>
        <v>4</v>
      </c>
      <c r="D20" s="141"/>
      <c r="E20" s="141"/>
      <c r="F20" s="142">
        <f t="shared" si="1"/>
        <v>4</v>
      </c>
      <c r="G20" s="143" t="s">
        <v>198</v>
      </c>
      <c r="H20" s="144">
        <v>44552</v>
      </c>
      <c r="I20" s="144" t="s">
        <v>121</v>
      </c>
      <c r="J20" s="148" t="s">
        <v>198</v>
      </c>
      <c r="K20" s="148" t="s">
        <v>198</v>
      </c>
      <c r="L20" s="148" t="s">
        <v>198</v>
      </c>
      <c r="M20" s="148" t="s">
        <v>198</v>
      </c>
      <c r="N20" s="146" t="s">
        <v>112</v>
      </c>
      <c r="O20" s="147" t="s">
        <v>246</v>
      </c>
      <c r="P20" s="147" t="s">
        <v>192</v>
      </c>
    </row>
    <row r="21" spans="1:17" ht="16" customHeight="1">
      <c r="A21" s="228" t="s">
        <v>15</v>
      </c>
      <c r="B21" s="139" t="s">
        <v>109</v>
      </c>
      <c r="C21" s="140">
        <f t="shared" si="0"/>
        <v>4</v>
      </c>
      <c r="D21" s="141">
        <v>0.5</v>
      </c>
      <c r="E21" s="141"/>
      <c r="F21" s="142">
        <f t="shared" si="1"/>
        <v>2</v>
      </c>
      <c r="G21" s="143" t="s">
        <v>198</v>
      </c>
      <c r="H21" s="144">
        <v>44558</v>
      </c>
      <c r="I21" s="144">
        <v>44559</v>
      </c>
      <c r="J21" s="148" t="s">
        <v>198</v>
      </c>
      <c r="K21" s="148" t="s">
        <v>198</v>
      </c>
      <c r="L21" s="148" t="s">
        <v>198</v>
      </c>
      <c r="M21" s="148" t="s">
        <v>198</v>
      </c>
      <c r="N21" s="146" t="s">
        <v>464</v>
      </c>
      <c r="O21" s="147" t="s">
        <v>217</v>
      </c>
      <c r="P21" s="147" t="s">
        <v>247</v>
      </c>
      <c r="Q21" s="78" t="s">
        <v>112</v>
      </c>
    </row>
    <row r="22" spans="1:17" ht="16" customHeight="1">
      <c r="A22" s="228" t="s">
        <v>16</v>
      </c>
      <c r="B22" s="139" t="s">
        <v>109</v>
      </c>
      <c r="C22" s="140">
        <f t="shared" si="0"/>
        <v>4</v>
      </c>
      <c r="D22" s="141"/>
      <c r="E22" s="141"/>
      <c r="F22" s="142">
        <f t="shared" si="1"/>
        <v>4</v>
      </c>
      <c r="G22" s="143" t="s">
        <v>198</v>
      </c>
      <c r="H22" s="144">
        <v>44548</v>
      </c>
      <c r="I22" s="144">
        <v>44553</v>
      </c>
      <c r="J22" s="148" t="s">
        <v>198</v>
      </c>
      <c r="K22" s="148" t="s">
        <v>198</v>
      </c>
      <c r="L22" s="148" t="s">
        <v>198</v>
      </c>
      <c r="M22" s="148" t="s">
        <v>198</v>
      </c>
      <c r="N22" s="146" t="s">
        <v>112</v>
      </c>
      <c r="O22" s="147" t="s">
        <v>175</v>
      </c>
      <c r="P22" s="147" t="s">
        <v>171</v>
      </c>
    </row>
    <row r="23" spans="1:17" ht="16" customHeight="1">
      <c r="A23" s="228" t="s">
        <v>17</v>
      </c>
      <c r="B23" s="139" t="s">
        <v>109</v>
      </c>
      <c r="C23" s="140">
        <f t="shared" si="0"/>
        <v>4</v>
      </c>
      <c r="D23" s="141"/>
      <c r="E23" s="141"/>
      <c r="F23" s="142">
        <f t="shared" si="1"/>
        <v>4</v>
      </c>
      <c r="G23" s="143" t="s">
        <v>198</v>
      </c>
      <c r="H23" s="144">
        <v>44545</v>
      </c>
      <c r="I23" s="144">
        <v>44546</v>
      </c>
      <c r="J23" s="148" t="s">
        <v>198</v>
      </c>
      <c r="K23" s="148" t="s">
        <v>198</v>
      </c>
      <c r="L23" s="148" t="s">
        <v>198</v>
      </c>
      <c r="M23" s="148" t="s">
        <v>198</v>
      </c>
      <c r="N23" s="146" t="s">
        <v>112</v>
      </c>
      <c r="O23" s="150" t="s">
        <v>176</v>
      </c>
      <c r="P23" s="147" t="s">
        <v>171</v>
      </c>
    </row>
    <row r="24" spans="1:17" ht="16" customHeight="1">
      <c r="A24" s="228" t="s">
        <v>422</v>
      </c>
      <c r="B24" s="139" t="s">
        <v>109</v>
      </c>
      <c r="C24" s="140">
        <f t="shared" si="0"/>
        <v>4</v>
      </c>
      <c r="D24" s="141"/>
      <c r="E24" s="141"/>
      <c r="F24" s="142">
        <f t="shared" si="1"/>
        <v>4</v>
      </c>
      <c r="G24" s="143" t="s">
        <v>198</v>
      </c>
      <c r="H24" s="144">
        <v>44524</v>
      </c>
      <c r="I24" s="144">
        <v>44531</v>
      </c>
      <c r="J24" s="145" t="s">
        <v>198</v>
      </c>
      <c r="K24" s="145" t="s">
        <v>198</v>
      </c>
      <c r="L24" s="145" t="s">
        <v>198</v>
      </c>
      <c r="M24" s="145" t="s">
        <v>198</v>
      </c>
      <c r="N24" s="146" t="s">
        <v>112</v>
      </c>
      <c r="O24" s="147" t="s">
        <v>218</v>
      </c>
      <c r="P24" s="147" t="s">
        <v>248</v>
      </c>
    </row>
    <row r="25" spans="1:17" ht="16" customHeight="1">
      <c r="A25" s="227" t="s">
        <v>18</v>
      </c>
      <c r="B25" s="152"/>
      <c r="C25" s="153"/>
      <c r="D25" s="154"/>
      <c r="E25" s="155"/>
      <c r="F25" s="156"/>
      <c r="G25" s="156"/>
      <c r="H25" s="157"/>
      <c r="I25" s="157"/>
      <c r="J25" s="158"/>
      <c r="K25" s="158"/>
      <c r="L25" s="159"/>
      <c r="M25" s="159"/>
      <c r="N25" s="159"/>
      <c r="O25" s="160"/>
      <c r="P25" s="160"/>
    </row>
    <row r="26" spans="1:17" ht="16" customHeight="1">
      <c r="A26" s="228" t="s">
        <v>19</v>
      </c>
      <c r="B26" s="139" t="s">
        <v>109</v>
      </c>
      <c r="C26" s="140">
        <f t="shared" si="0"/>
        <v>4</v>
      </c>
      <c r="D26" s="141"/>
      <c r="E26" s="141"/>
      <c r="F26" s="142">
        <f t="shared" si="1"/>
        <v>4</v>
      </c>
      <c r="G26" s="143" t="s">
        <v>198</v>
      </c>
      <c r="H26" s="144">
        <v>44545</v>
      </c>
      <c r="I26" s="144" t="s">
        <v>121</v>
      </c>
      <c r="J26" s="145" t="s">
        <v>198</v>
      </c>
      <c r="K26" s="145" t="s">
        <v>198</v>
      </c>
      <c r="L26" s="145" t="s">
        <v>198</v>
      </c>
      <c r="M26" s="145" t="s">
        <v>198</v>
      </c>
      <c r="N26" s="146" t="s">
        <v>112</v>
      </c>
      <c r="O26" s="147" t="s">
        <v>249</v>
      </c>
      <c r="P26" s="147" t="s">
        <v>171</v>
      </c>
    </row>
    <row r="27" spans="1:17" ht="16" customHeight="1">
      <c r="A27" s="228" t="s">
        <v>20</v>
      </c>
      <c r="B27" s="139" t="s">
        <v>109</v>
      </c>
      <c r="C27" s="140">
        <f t="shared" si="0"/>
        <v>4</v>
      </c>
      <c r="D27" s="141"/>
      <c r="E27" s="141"/>
      <c r="F27" s="142">
        <f t="shared" si="1"/>
        <v>4</v>
      </c>
      <c r="G27" s="143" t="s">
        <v>198</v>
      </c>
      <c r="H27" s="144">
        <v>44537</v>
      </c>
      <c r="I27" s="144">
        <v>44543</v>
      </c>
      <c r="J27" s="145" t="s">
        <v>198</v>
      </c>
      <c r="K27" s="145" t="s">
        <v>198</v>
      </c>
      <c r="L27" s="145" t="s">
        <v>198</v>
      </c>
      <c r="M27" s="145" t="s">
        <v>198</v>
      </c>
      <c r="N27" s="146" t="s">
        <v>112</v>
      </c>
      <c r="O27" s="147" t="s">
        <v>250</v>
      </c>
      <c r="P27" s="147" t="s">
        <v>192</v>
      </c>
    </row>
    <row r="28" spans="1:17" ht="16" customHeight="1">
      <c r="A28" s="228" t="s">
        <v>21</v>
      </c>
      <c r="B28" s="139" t="s">
        <v>109</v>
      </c>
      <c r="C28" s="140">
        <f t="shared" si="0"/>
        <v>4</v>
      </c>
      <c r="D28" s="141"/>
      <c r="E28" s="141"/>
      <c r="F28" s="142">
        <f t="shared" si="1"/>
        <v>4</v>
      </c>
      <c r="G28" s="143" t="s">
        <v>198</v>
      </c>
      <c r="H28" s="144">
        <v>44552</v>
      </c>
      <c r="I28" s="144">
        <v>44554</v>
      </c>
      <c r="J28" s="145" t="s">
        <v>198</v>
      </c>
      <c r="K28" s="145" t="s">
        <v>198</v>
      </c>
      <c r="L28" s="145" t="s">
        <v>198</v>
      </c>
      <c r="M28" s="145" t="s">
        <v>198</v>
      </c>
      <c r="N28" s="146" t="s">
        <v>112</v>
      </c>
      <c r="O28" s="150" t="s">
        <v>143</v>
      </c>
      <c r="P28" s="147" t="s">
        <v>192</v>
      </c>
    </row>
    <row r="29" spans="1:17" ht="16" customHeight="1">
      <c r="A29" s="228" t="s">
        <v>22</v>
      </c>
      <c r="B29" s="139" t="s">
        <v>109</v>
      </c>
      <c r="C29" s="140">
        <f t="shared" si="0"/>
        <v>4</v>
      </c>
      <c r="D29" s="141"/>
      <c r="E29" s="141"/>
      <c r="F29" s="142">
        <f t="shared" si="1"/>
        <v>4</v>
      </c>
      <c r="G29" s="143" t="s">
        <v>198</v>
      </c>
      <c r="H29" s="144">
        <v>44546</v>
      </c>
      <c r="I29" s="144">
        <v>44550</v>
      </c>
      <c r="J29" s="145" t="s">
        <v>198</v>
      </c>
      <c r="K29" s="145" t="s">
        <v>198</v>
      </c>
      <c r="L29" s="145" t="s">
        <v>198</v>
      </c>
      <c r="M29" s="145" t="s">
        <v>198</v>
      </c>
      <c r="N29" s="146" t="s">
        <v>112</v>
      </c>
      <c r="O29" s="150" t="s">
        <v>251</v>
      </c>
      <c r="P29" s="147" t="s">
        <v>192</v>
      </c>
    </row>
    <row r="30" spans="1:17" ht="16" customHeight="1">
      <c r="A30" s="228" t="s">
        <v>23</v>
      </c>
      <c r="B30" s="139" t="s">
        <v>109</v>
      </c>
      <c r="C30" s="140">
        <f t="shared" si="0"/>
        <v>4</v>
      </c>
      <c r="D30" s="141"/>
      <c r="E30" s="141"/>
      <c r="F30" s="142">
        <f t="shared" si="1"/>
        <v>4</v>
      </c>
      <c r="G30" s="143" t="s">
        <v>198</v>
      </c>
      <c r="H30" s="144">
        <v>44536</v>
      </c>
      <c r="I30" s="144">
        <v>44536</v>
      </c>
      <c r="J30" s="145" t="s">
        <v>198</v>
      </c>
      <c r="K30" s="145" t="s">
        <v>198</v>
      </c>
      <c r="L30" s="145" t="s">
        <v>198</v>
      </c>
      <c r="M30" s="145" t="s">
        <v>198</v>
      </c>
      <c r="N30" s="146" t="s">
        <v>112</v>
      </c>
      <c r="O30" s="149" t="s">
        <v>144</v>
      </c>
      <c r="P30" s="147" t="s">
        <v>192</v>
      </c>
    </row>
    <row r="31" spans="1:17" ht="16" customHeight="1">
      <c r="A31" s="228" t="s">
        <v>24</v>
      </c>
      <c r="B31" s="139" t="s">
        <v>109</v>
      </c>
      <c r="C31" s="140">
        <f t="shared" si="0"/>
        <v>4</v>
      </c>
      <c r="D31" s="141"/>
      <c r="E31" s="141"/>
      <c r="F31" s="142">
        <f t="shared" si="1"/>
        <v>4</v>
      </c>
      <c r="G31" s="143" t="s">
        <v>198</v>
      </c>
      <c r="H31" s="144">
        <v>44551</v>
      </c>
      <c r="I31" s="144">
        <v>44557</v>
      </c>
      <c r="J31" s="145" t="s">
        <v>198</v>
      </c>
      <c r="K31" s="145" t="s">
        <v>198</v>
      </c>
      <c r="L31" s="145" t="s">
        <v>198</v>
      </c>
      <c r="M31" s="145" t="s">
        <v>198</v>
      </c>
      <c r="N31" s="146" t="s">
        <v>112</v>
      </c>
      <c r="O31" s="150" t="s">
        <v>252</v>
      </c>
      <c r="P31" s="147" t="s">
        <v>171</v>
      </c>
    </row>
    <row r="32" spans="1:17" ht="16" customHeight="1">
      <c r="A32" s="228" t="s">
        <v>25</v>
      </c>
      <c r="B32" s="139" t="s">
        <v>109</v>
      </c>
      <c r="C32" s="140">
        <f t="shared" si="0"/>
        <v>4</v>
      </c>
      <c r="D32" s="141"/>
      <c r="E32" s="141"/>
      <c r="F32" s="142">
        <f t="shared" si="1"/>
        <v>4</v>
      </c>
      <c r="G32" s="143" t="s">
        <v>198</v>
      </c>
      <c r="H32" s="144">
        <v>44546</v>
      </c>
      <c r="I32" s="144">
        <v>44546</v>
      </c>
      <c r="J32" s="145" t="s">
        <v>198</v>
      </c>
      <c r="K32" s="145" t="s">
        <v>198</v>
      </c>
      <c r="L32" s="145" t="s">
        <v>198</v>
      </c>
      <c r="M32" s="145" t="s">
        <v>198</v>
      </c>
      <c r="N32" s="146" t="s">
        <v>112</v>
      </c>
      <c r="O32" s="149" t="s">
        <v>177</v>
      </c>
      <c r="P32" s="147" t="s">
        <v>171</v>
      </c>
    </row>
    <row r="33" spans="1:17" ht="16" customHeight="1">
      <c r="A33" s="228" t="s">
        <v>26</v>
      </c>
      <c r="B33" s="139" t="s">
        <v>109</v>
      </c>
      <c r="C33" s="140">
        <f t="shared" si="0"/>
        <v>4</v>
      </c>
      <c r="D33" s="141"/>
      <c r="E33" s="141"/>
      <c r="F33" s="142">
        <f>C33*(1-D33)*(1-E33)</f>
        <v>4</v>
      </c>
      <c r="G33" s="143" t="s">
        <v>198</v>
      </c>
      <c r="H33" s="144">
        <v>44552</v>
      </c>
      <c r="I33" s="144">
        <v>44553</v>
      </c>
      <c r="J33" s="145" t="s">
        <v>198</v>
      </c>
      <c r="K33" s="145" t="s">
        <v>198</v>
      </c>
      <c r="L33" s="145" t="s">
        <v>198</v>
      </c>
      <c r="M33" s="145" t="s">
        <v>198</v>
      </c>
      <c r="N33" s="146" t="s">
        <v>112</v>
      </c>
      <c r="O33" s="149" t="s">
        <v>317</v>
      </c>
      <c r="P33" s="147" t="s">
        <v>171</v>
      </c>
    </row>
    <row r="34" spans="1:17" ht="16" customHeight="1">
      <c r="A34" s="228" t="s">
        <v>27</v>
      </c>
      <c r="B34" s="139" t="s">
        <v>110</v>
      </c>
      <c r="C34" s="140">
        <f t="shared" si="0"/>
        <v>0</v>
      </c>
      <c r="D34" s="141"/>
      <c r="E34" s="141"/>
      <c r="F34" s="142">
        <f t="shared" si="1"/>
        <v>0</v>
      </c>
      <c r="G34" s="143" t="s">
        <v>456</v>
      </c>
      <c r="H34" s="144">
        <v>44559</v>
      </c>
      <c r="I34" s="161" t="s">
        <v>112</v>
      </c>
      <c r="J34" s="148" t="s">
        <v>112</v>
      </c>
      <c r="K34" s="148" t="s">
        <v>112</v>
      </c>
      <c r="L34" s="148" t="s">
        <v>112</v>
      </c>
      <c r="M34" s="148" t="s">
        <v>112</v>
      </c>
      <c r="N34" s="146" t="s">
        <v>457</v>
      </c>
      <c r="O34" s="149" t="s">
        <v>220</v>
      </c>
      <c r="P34" s="149" t="s">
        <v>221</v>
      </c>
      <c r="Q34" s="78" t="s">
        <v>112</v>
      </c>
    </row>
    <row r="35" spans="1:17" ht="16" customHeight="1">
      <c r="A35" s="228" t="s">
        <v>680</v>
      </c>
      <c r="B35" s="139" t="s">
        <v>109</v>
      </c>
      <c r="C35" s="140">
        <f t="shared" si="0"/>
        <v>4</v>
      </c>
      <c r="D35" s="141"/>
      <c r="E35" s="141"/>
      <c r="F35" s="142">
        <f t="shared" si="1"/>
        <v>4</v>
      </c>
      <c r="G35" s="143" t="s">
        <v>198</v>
      </c>
      <c r="H35" s="144">
        <v>44525</v>
      </c>
      <c r="I35" s="144">
        <v>44526</v>
      </c>
      <c r="J35" s="145" t="s">
        <v>198</v>
      </c>
      <c r="K35" s="145" t="s">
        <v>198</v>
      </c>
      <c r="L35" s="145" t="s">
        <v>198</v>
      </c>
      <c r="M35" s="145" t="s">
        <v>198</v>
      </c>
      <c r="N35" s="146" t="s">
        <v>112</v>
      </c>
      <c r="O35" s="149" t="s">
        <v>188</v>
      </c>
      <c r="P35" s="147" t="s">
        <v>171</v>
      </c>
    </row>
    <row r="36" spans="1:17" ht="16" customHeight="1">
      <c r="A36" s="228" t="s">
        <v>28</v>
      </c>
      <c r="B36" s="139" t="s">
        <v>109</v>
      </c>
      <c r="C36" s="140">
        <f t="shared" si="0"/>
        <v>4</v>
      </c>
      <c r="D36" s="141"/>
      <c r="E36" s="141"/>
      <c r="F36" s="142">
        <f t="shared" si="1"/>
        <v>4</v>
      </c>
      <c r="G36" s="143" t="s">
        <v>198</v>
      </c>
      <c r="H36" s="144">
        <v>44553</v>
      </c>
      <c r="I36" s="144" t="s">
        <v>121</v>
      </c>
      <c r="J36" s="145" t="s">
        <v>198</v>
      </c>
      <c r="K36" s="145" t="s">
        <v>198</v>
      </c>
      <c r="L36" s="145" t="s">
        <v>198</v>
      </c>
      <c r="M36" s="145" t="s">
        <v>198</v>
      </c>
      <c r="N36" s="146" t="s">
        <v>112</v>
      </c>
      <c r="O36" s="150" t="s">
        <v>126</v>
      </c>
      <c r="P36" s="147" t="s">
        <v>192</v>
      </c>
    </row>
    <row r="37" spans="1:17" ht="16" customHeight="1">
      <c r="A37" s="227" t="s">
        <v>29</v>
      </c>
      <c r="B37" s="152"/>
      <c r="C37" s="153"/>
      <c r="D37" s="154"/>
      <c r="E37" s="155"/>
      <c r="F37" s="156"/>
      <c r="G37" s="156"/>
      <c r="H37" s="157"/>
      <c r="I37" s="157"/>
      <c r="J37" s="159"/>
      <c r="K37" s="159"/>
      <c r="L37" s="159"/>
      <c r="M37" s="159"/>
      <c r="N37" s="159"/>
      <c r="O37" s="160"/>
      <c r="P37" s="160"/>
    </row>
    <row r="38" spans="1:17" ht="16" customHeight="1">
      <c r="A38" s="228" t="s">
        <v>30</v>
      </c>
      <c r="B38" s="139" t="s">
        <v>109</v>
      </c>
      <c r="C38" s="140">
        <f t="shared" si="0"/>
        <v>4</v>
      </c>
      <c r="D38" s="141"/>
      <c r="E38" s="141"/>
      <c r="F38" s="142">
        <f t="shared" si="1"/>
        <v>4</v>
      </c>
      <c r="G38" s="143" t="s">
        <v>198</v>
      </c>
      <c r="H38" s="144">
        <v>44540</v>
      </c>
      <c r="I38" s="144">
        <v>44543</v>
      </c>
      <c r="J38" s="162" t="s">
        <v>198</v>
      </c>
      <c r="K38" s="145" t="s">
        <v>198</v>
      </c>
      <c r="L38" s="145" t="s">
        <v>198</v>
      </c>
      <c r="M38" s="145" t="s">
        <v>198</v>
      </c>
      <c r="N38" s="146" t="s">
        <v>112</v>
      </c>
      <c r="O38" s="150" t="s">
        <v>253</v>
      </c>
      <c r="P38" s="147" t="s">
        <v>192</v>
      </c>
    </row>
    <row r="39" spans="1:17" ht="16" customHeight="1">
      <c r="A39" s="228" t="s">
        <v>31</v>
      </c>
      <c r="B39" s="139" t="s">
        <v>109</v>
      </c>
      <c r="C39" s="140">
        <f t="shared" si="0"/>
        <v>4</v>
      </c>
      <c r="D39" s="141"/>
      <c r="E39" s="141"/>
      <c r="F39" s="142">
        <f t="shared" si="1"/>
        <v>4</v>
      </c>
      <c r="G39" s="143" t="s">
        <v>198</v>
      </c>
      <c r="H39" s="144">
        <v>44544</v>
      </c>
      <c r="I39" s="144" t="s">
        <v>121</v>
      </c>
      <c r="J39" s="145" t="s">
        <v>198</v>
      </c>
      <c r="K39" s="145" t="s">
        <v>198</v>
      </c>
      <c r="L39" s="145" t="s">
        <v>198</v>
      </c>
      <c r="M39" s="145" t="s">
        <v>198</v>
      </c>
      <c r="N39" s="146" t="s">
        <v>112</v>
      </c>
      <c r="O39" s="150" t="s">
        <v>127</v>
      </c>
      <c r="P39" s="147" t="s">
        <v>192</v>
      </c>
    </row>
    <row r="40" spans="1:17" ht="16" customHeight="1">
      <c r="A40" s="228" t="s">
        <v>89</v>
      </c>
      <c r="B40" s="139" t="s">
        <v>109</v>
      </c>
      <c r="C40" s="140">
        <f t="shared" si="0"/>
        <v>4</v>
      </c>
      <c r="D40" s="141"/>
      <c r="E40" s="141"/>
      <c r="F40" s="142">
        <f t="shared" si="1"/>
        <v>4</v>
      </c>
      <c r="G40" s="143" t="s">
        <v>198</v>
      </c>
      <c r="H40" s="144">
        <v>44539</v>
      </c>
      <c r="I40" s="144">
        <v>44544</v>
      </c>
      <c r="J40" s="145" t="s">
        <v>198</v>
      </c>
      <c r="K40" s="145" t="s">
        <v>198</v>
      </c>
      <c r="L40" s="145" t="s">
        <v>198</v>
      </c>
      <c r="M40" s="145" t="s">
        <v>198</v>
      </c>
      <c r="N40" s="146" t="s">
        <v>657</v>
      </c>
      <c r="O40" s="149" t="s">
        <v>254</v>
      </c>
      <c r="P40" s="147" t="s">
        <v>477</v>
      </c>
      <c r="Q40" s="78" t="s">
        <v>112</v>
      </c>
    </row>
    <row r="41" spans="1:17" ht="16" customHeight="1">
      <c r="A41" s="228" t="s">
        <v>32</v>
      </c>
      <c r="B41" s="139" t="s">
        <v>109</v>
      </c>
      <c r="C41" s="140">
        <f t="shared" si="0"/>
        <v>4</v>
      </c>
      <c r="D41" s="141"/>
      <c r="E41" s="141"/>
      <c r="F41" s="142">
        <f t="shared" si="1"/>
        <v>4</v>
      </c>
      <c r="G41" s="143" t="s">
        <v>198</v>
      </c>
      <c r="H41" s="144">
        <v>44552</v>
      </c>
      <c r="I41" s="144">
        <v>44553</v>
      </c>
      <c r="J41" s="145" t="s">
        <v>198</v>
      </c>
      <c r="K41" s="145" t="s">
        <v>198</v>
      </c>
      <c r="L41" s="145" t="s">
        <v>198</v>
      </c>
      <c r="M41" s="145" t="s">
        <v>198</v>
      </c>
      <c r="N41" s="146" t="s">
        <v>112</v>
      </c>
      <c r="O41" s="149" t="s">
        <v>255</v>
      </c>
      <c r="P41" s="147" t="s">
        <v>171</v>
      </c>
    </row>
    <row r="42" spans="1:17" ht="16" customHeight="1">
      <c r="A42" s="228" t="s">
        <v>33</v>
      </c>
      <c r="B42" s="139" t="s">
        <v>109</v>
      </c>
      <c r="C42" s="140">
        <f t="shared" si="0"/>
        <v>4</v>
      </c>
      <c r="D42" s="141"/>
      <c r="E42" s="141">
        <v>0.5</v>
      </c>
      <c r="F42" s="142">
        <f t="shared" si="1"/>
        <v>2</v>
      </c>
      <c r="G42" s="143" t="s">
        <v>198</v>
      </c>
      <c r="H42" s="144">
        <v>44547</v>
      </c>
      <c r="I42" s="161">
        <v>44559</v>
      </c>
      <c r="J42" s="148" t="s">
        <v>198</v>
      </c>
      <c r="K42" s="148" t="s">
        <v>198</v>
      </c>
      <c r="L42" s="148" t="s">
        <v>164</v>
      </c>
      <c r="M42" s="148" t="s">
        <v>112</v>
      </c>
      <c r="N42" s="146" t="s">
        <v>465</v>
      </c>
      <c r="O42" s="149" t="s">
        <v>453</v>
      </c>
      <c r="P42" s="147" t="s">
        <v>192</v>
      </c>
    </row>
    <row r="43" spans="1:17" ht="16" customHeight="1">
      <c r="A43" s="228" t="s">
        <v>34</v>
      </c>
      <c r="B43" s="139" t="s">
        <v>110</v>
      </c>
      <c r="C43" s="140">
        <f>IF(B43="Да, размещен ",4,0)</f>
        <v>0</v>
      </c>
      <c r="D43" s="141"/>
      <c r="E43" s="141"/>
      <c r="F43" s="142">
        <f t="shared" si="1"/>
        <v>0</v>
      </c>
      <c r="G43" s="143" t="s">
        <v>456</v>
      </c>
      <c r="H43" s="144">
        <v>44538</v>
      </c>
      <c r="I43" s="161" t="s">
        <v>112</v>
      </c>
      <c r="J43" s="148" t="s">
        <v>112</v>
      </c>
      <c r="K43" s="148" t="s">
        <v>112</v>
      </c>
      <c r="L43" s="148" t="s">
        <v>112</v>
      </c>
      <c r="M43" s="148" t="s">
        <v>112</v>
      </c>
      <c r="N43" s="146" t="s">
        <v>450</v>
      </c>
      <c r="O43" s="149" t="s">
        <v>287</v>
      </c>
      <c r="P43" s="149" t="s">
        <v>288</v>
      </c>
      <c r="Q43" s="78" t="s">
        <v>112</v>
      </c>
    </row>
    <row r="44" spans="1:17" ht="16" customHeight="1">
      <c r="A44" s="228" t="s">
        <v>35</v>
      </c>
      <c r="B44" s="139" t="s">
        <v>109</v>
      </c>
      <c r="C44" s="140">
        <f>IF(B44="Да, размещен ",4,0)</f>
        <v>4</v>
      </c>
      <c r="D44" s="141"/>
      <c r="E44" s="141"/>
      <c r="F44" s="142">
        <f t="shared" si="1"/>
        <v>4</v>
      </c>
      <c r="G44" s="143" t="s">
        <v>198</v>
      </c>
      <c r="H44" s="144">
        <v>44546</v>
      </c>
      <c r="I44" s="144" t="s">
        <v>121</v>
      </c>
      <c r="J44" s="145" t="s">
        <v>198</v>
      </c>
      <c r="K44" s="145" t="s">
        <v>198</v>
      </c>
      <c r="L44" s="145" t="s">
        <v>198</v>
      </c>
      <c r="M44" s="145" t="s">
        <v>198</v>
      </c>
      <c r="N44" s="146" t="s">
        <v>112</v>
      </c>
      <c r="O44" s="150" t="s">
        <v>256</v>
      </c>
      <c r="P44" s="147" t="s">
        <v>171</v>
      </c>
    </row>
    <row r="45" spans="1:17" ht="16" customHeight="1">
      <c r="A45" s="228" t="s">
        <v>423</v>
      </c>
      <c r="B45" s="139" t="s">
        <v>109</v>
      </c>
      <c r="C45" s="140">
        <f t="shared" si="0"/>
        <v>4</v>
      </c>
      <c r="D45" s="141"/>
      <c r="E45" s="141"/>
      <c r="F45" s="142">
        <f t="shared" si="1"/>
        <v>4</v>
      </c>
      <c r="G45" s="143" t="s">
        <v>198</v>
      </c>
      <c r="H45" s="144">
        <v>44553</v>
      </c>
      <c r="I45" s="144">
        <v>44557</v>
      </c>
      <c r="J45" s="145" t="s">
        <v>198</v>
      </c>
      <c r="K45" s="145" t="s">
        <v>198</v>
      </c>
      <c r="L45" s="145" t="s">
        <v>198</v>
      </c>
      <c r="M45" s="145" t="s">
        <v>198</v>
      </c>
      <c r="N45" s="146" t="s">
        <v>458</v>
      </c>
      <c r="O45" s="150" t="s">
        <v>459</v>
      </c>
      <c r="P45" s="150" t="s">
        <v>257</v>
      </c>
      <c r="Q45" s="78" t="s">
        <v>112</v>
      </c>
    </row>
    <row r="46" spans="1:17" ht="16" customHeight="1">
      <c r="A46" s="227" t="s">
        <v>36</v>
      </c>
      <c r="B46" s="152"/>
      <c r="C46" s="153"/>
      <c r="D46" s="154"/>
      <c r="E46" s="155"/>
      <c r="F46" s="156"/>
      <c r="G46" s="156"/>
      <c r="H46" s="157"/>
      <c r="I46" s="157"/>
      <c r="J46" s="158"/>
      <c r="K46" s="159"/>
      <c r="L46" s="159"/>
      <c r="M46" s="159"/>
      <c r="N46" s="159"/>
      <c r="O46" s="160"/>
      <c r="P46" s="160"/>
    </row>
    <row r="47" spans="1:17" ht="16" customHeight="1">
      <c r="A47" s="228" t="s">
        <v>37</v>
      </c>
      <c r="B47" s="139" t="s">
        <v>110</v>
      </c>
      <c r="C47" s="140">
        <f t="shared" si="0"/>
        <v>0</v>
      </c>
      <c r="D47" s="141"/>
      <c r="E47" s="141">
        <v>0.5</v>
      </c>
      <c r="F47" s="142">
        <f t="shared" si="1"/>
        <v>0</v>
      </c>
      <c r="G47" s="143" t="s">
        <v>466</v>
      </c>
      <c r="H47" s="144">
        <v>44559</v>
      </c>
      <c r="I47" s="144" t="s">
        <v>121</v>
      </c>
      <c r="J47" s="145" t="s">
        <v>467</v>
      </c>
      <c r="K47" s="145" t="s">
        <v>112</v>
      </c>
      <c r="L47" s="145" t="s">
        <v>112</v>
      </c>
      <c r="M47" s="145" t="s">
        <v>112</v>
      </c>
      <c r="N47" s="146" t="s">
        <v>658</v>
      </c>
      <c r="O47" s="149" t="s">
        <v>165</v>
      </c>
      <c r="P47" s="149" t="s">
        <v>468</v>
      </c>
      <c r="Q47" s="78" t="s">
        <v>112</v>
      </c>
    </row>
    <row r="48" spans="1:17" ht="16" customHeight="1">
      <c r="A48" s="228" t="s">
        <v>38</v>
      </c>
      <c r="B48" s="139" t="s">
        <v>109</v>
      </c>
      <c r="C48" s="140">
        <f>IF(B48="Да, размещен ",4,0)</f>
        <v>4</v>
      </c>
      <c r="D48" s="141"/>
      <c r="E48" s="141">
        <v>0.5</v>
      </c>
      <c r="F48" s="142">
        <f t="shared" si="1"/>
        <v>2</v>
      </c>
      <c r="G48" s="143" t="s">
        <v>198</v>
      </c>
      <c r="H48" s="144">
        <v>44554</v>
      </c>
      <c r="I48" s="144">
        <v>44564</v>
      </c>
      <c r="J48" s="145" t="s">
        <v>198</v>
      </c>
      <c r="K48" s="145" t="s">
        <v>164</v>
      </c>
      <c r="L48" s="145" t="s">
        <v>112</v>
      </c>
      <c r="M48" s="145" t="s">
        <v>112</v>
      </c>
      <c r="N48" s="146" t="s">
        <v>470</v>
      </c>
      <c r="O48" s="149" t="s">
        <v>469</v>
      </c>
      <c r="P48" s="147" t="s">
        <v>192</v>
      </c>
    </row>
    <row r="49" spans="1:17" ht="16" customHeight="1">
      <c r="A49" s="228" t="s">
        <v>39</v>
      </c>
      <c r="B49" s="139" t="s">
        <v>109</v>
      </c>
      <c r="C49" s="140">
        <f t="shared" si="0"/>
        <v>4</v>
      </c>
      <c r="D49" s="141"/>
      <c r="E49" s="141"/>
      <c r="F49" s="142">
        <f t="shared" si="1"/>
        <v>4</v>
      </c>
      <c r="G49" s="143" t="s">
        <v>198</v>
      </c>
      <c r="H49" s="144">
        <v>44558</v>
      </c>
      <c r="I49" s="144" t="s">
        <v>121</v>
      </c>
      <c r="J49" s="145" t="s">
        <v>198</v>
      </c>
      <c r="K49" s="145" t="s">
        <v>198</v>
      </c>
      <c r="L49" s="145" t="s">
        <v>198</v>
      </c>
      <c r="M49" s="145" t="s">
        <v>198</v>
      </c>
      <c r="N49" s="146" t="s">
        <v>112</v>
      </c>
      <c r="O49" s="149" t="s">
        <v>258</v>
      </c>
      <c r="P49" s="147" t="s">
        <v>192</v>
      </c>
    </row>
    <row r="50" spans="1:17" ht="16" customHeight="1">
      <c r="A50" s="228" t="s">
        <v>40</v>
      </c>
      <c r="B50" s="139" t="s">
        <v>109</v>
      </c>
      <c r="C50" s="140">
        <f t="shared" si="0"/>
        <v>4</v>
      </c>
      <c r="D50" s="141">
        <v>0.5</v>
      </c>
      <c r="E50" s="141">
        <v>0.5</v>
      </c>
      <c r="F50" s="142">
        <f t="shared" si="1"/>
        <v>1</v>
      </c>
      <c r="G50" s="143" t="s">
        <v>198</v>
      </c>
      <c r="H50" s="144">
        <v>44558</v>
      </c>
      <c r="I50" s="161">
        <v>44560</v>
      </c>
      <c r="J50" s="145" t="s">
        <v>198</v>
      </c>
      <c r="K50" s="145" t="s">
        <v>164</v>
      </c>
      <c r="L50" s="145" t="s">
        <v>112</v>
      </c>
      <c r="M50" s="145" t="s">
        <v>112</v>
      </c>
      <c r="N50" s="146" t="s">
        <v>471</v>
      </c>
      <c r="O50" s="149" t="s">
        <v>222</v>
      </c>
      <c r="P50" s="147" t="s">
        <v>192</v>
      </c>
    </row>
    <row r="51" spans="1:17" ht="16" customHeight="1">
      <c r="A51" s="228" t="s">
        <v>681</v>
      </c>
      <c r="B51" s="139" t="s">
        <v>109</v>
      </c>
      <c r="C51" s="140">
        <f t="shared" si="0"/>
        <v>4</v>
      </c>
      <c r="D51" s="141"/>
      <c r="E51" s="141"/>
      <c r="F51" s="142">
        <f t="shared" si="1"/>
        <v>4</v>
      </c>
      <c r="G51" s="143" t="s">
        <v>198</v>
      </c>
      <c r="H51" s="144">
        <v>44554</v>
      </c>
      <c r="I51" s="144">
        <v>44559</v>
      </c>
      <c r="J51" s="145" t="s">
        <v>198</v>
      </c>
      <c r="K51" s="145" t="s">
        <v>198</v>
      </c>
      <c r="L51" s="145" t="s">
        <v>198</v>
      </c>
      <c r="M51" s="145" t="s">
        <v>198</v>
      </c>
      <c r="N51" s="146" t="s">
        <v>112</v>
      </c>
      <c r="O51" s="149" t="s">
        <v>259</v>
      </c>
      <c r="P51" s="147" t="s">
        <v>192</v>
      </c>
    </row>
    <row r="52" spans="1:17" ht="16" customHeight="1">
      <c r="A52" s="228" t="s">
        <v>41</v>
      </c>
      <c r="B52" s="139" t="s">
        <v>109</v>
      </c>
      <c r="C52" s="140">
        <f t="shared" si="0"/>
        <v>4</v>
      </c>
      <c r="D52" s="141">
        <v>0.5</v>
      </c>
      <c r="E52" s="141">
        <v>0.5</v>
      </c>
      <c r="F52" s="142">
        <f t="shared" si="1"/>
        <v>1</v>
      </c>
      <c r="G52" s="143" t="s">
        <v>198</v>
      </c>
      <c r="H52" s="144">
        <v>44551</v>
      </c>
      <c r="I52" s="144" t="s">
        <v>121</v>
      </c>
      <c r="J52" s="148" t="s">
        <v>198</v>
      </c>
      <c r="K52" s="148" t="s">
        <v>164</v>
      </c>
      <c r="L52" s="148" t="s">
        <v>164</v>
      </c>
      <c r="M52" s="148" t="s">
        <v>112</v>
      </c>
      <c r="N52" s="146" t="s">
        <v>676</v>
      </c>
      <c r="O52" s="149" t="s">
        <v>677</v>
      </c>
      <c r="P52" s="149" t="s">
        <v>289</v>
      </c>
      <c r="Q52" s="78" t="s">
        <v>112</v>
      </c>
    </row>
    <row r="53" spans="1:17" ht="16" customHeight="1">
      <c r="A53" s="228" t="s">
        <v>42</v>
      </c>
      <c r="B53" s="139" t="s">
        <v>109</v>
      </c>
      <c r="C53" s="140">
        <f t="shared" si="0"/>
        <v>4</v>
      </c>
      <c r="D53" s="141"/>
      <c r="E53" s="141"/>
      <c r="F53" s="142">
        <f t="shared" si="1"/>
        <v>4</v>
      </c>
      <c r="G53" s="143" t="s">
        <v>198</v>
      </c>
      <c r="H53" s="144">
        <v>44537</v>
      </c>
      <c r="I53" s="144" t="s">
        <v>121</v>
      </c>
      <c r="J53" s="145" t="s">
        <v>198</v>
      </c>
      <c r="K53" s="145" t="s">
        <v>198</v>
      </c>
      <c r="L53" s="145" t="s">
        <v>198</v>
      </c>
      <c r="M53" s="145" t="s">
        <v>198</v>
      </c>
      <c r="N53" s="146" t="s">
        <v>112</v>
      </c>
      <c r="O53" s="149" t="s">
        <v>178</v>
      </c>
      <c r="P53" s="147" t="s">
        <v>171</v>
      </c>
    </row>
    <row r="54" spans="1:17" ht="16" customHeight="1">
      <c r="A54" s="227" t="s">
        <v>43</v>
      </c>
      <c r="B54" s="152"/>
      <c r="C54" s="153"/>
      <c r="D54" s="154"/>
      <c r="E54" s="155"/>
      <c r="F54" s="156"/>
      <c r="G54" s="156"/>
      <c r="H54" s="157"/>
      <c r="I54" s="157"/>
      <c r="J54" s="159"/>
      <c r="K54" s="159"/>
      <c r="L54" s="159"/>
      <c r="M54" s="159"/>
      <c r="N54" s="159"/>
      <c r="O54" s="160"/>
      <c r="P54" s="160"/>
    </row>
    <row r="55" spans="1:17" ht="16" customHeight="1">
      <c r="A55" s="228" t="s">
        <v>44</v>
      </c>
      <c r="B55" s="139" t="s">
        <v>109</v>
      </c>
      <c r="C55" s="140">
        <f t="shared" si="0"/>
        <v>4</v>
      </c>
      <c r="D55" s="141"/>
      <c r="E55" s="141"/>
      <c r="F55" s="142">
        <f t="shared" si="1"/>
        <v>4</v>
      </c>
      <c r="G55" s="143" t="s">
        <v>198</v>
      </c>
      <c r="H55" s="144">
        <v>44550</v>
      </c>
      <c r="I55" s="144" t="s">
        <v>121</v>
      </c>
      <c r="J55" s="145" t="s">
        <v>198</v>
      </c>
      <c r="K55" s="145" t="s">
        <v>198</v>
      </c>
      <c r="L55" s="145" t="s">
        <v>198</v>
      </c>
      <c r="M55" s="145" t="s">
        <v>198</v>
      </c>
      <c r="N55" s="146" t="s">
        <v>112</v>
      </c>
      <c r="O55" s="149" t="s">
        <v>260</v>
      </c>
      <c r="P55" s="147" t="s">
        <v>192</v>
      </c>
    </row>
    <row r="56" spans="1:17" ht="16" customHeight="1">
      <c r="A56" s="228" t="s">
        <v>682</v>
      </c>
      <c r="B56" s="139" t="s">
        <v>109</v>
      </c>
      <c r="C56" s="140">
        <f t="shared" si="0"/>
        <v>4</v>
      </c>
      <c r="D56" s="141"/>
      <c r="E56" s="141"/>
      <c r="F56" s="142">
        <f t="shared" si="1"/>
        <v>4</v>
      </c>
      <c r="G56" s="143" t="s">
        <v>198</v>
      </c>
      <c r="H56" s="144">
        <v>44533</v>
      </c>
      <c r="I56" s="144">
        <v>44538</v>
      </c>
      <c r="J56" s="145" t="s">
        <v>198</v>
      </c>
      <c r="K56" s="145" t="s">
        <v>198</v>
      </c>
      <c r="L56" s="145" t="s">
        <v>198</v>
      </c>
      <c r="M56" s="145" t="s">
        <v>198</v>
      </c>
      <c r="N56" s="146" t="s">
        <v>112</v>
      </c>
      <c r="O56" s="149" t="s">
        <v>290</v>
      </c>
      <c r="P56" s="147" t="s">
        <v>192</v>
      </c>
    </row>
    <row r="57" spans="1:17" s="32" customFormat="1" ht="16" customHeight="1">
      <c r="A57" s="228" t="s">
        <v>45</v>
      </c>
      <c r="B57" s="139" t="s">
        <v>109</v>
      </c>
      <c r="C57" s="140">
        <f t="shared" si="0"/>
        <v>4</v>
      </c>
      <c r="D57" s="141">
        <v>0.5</v>
      </c>
      <c r="E57" s="141">
        <v>0.5</v>
      </c>
      <c r="F57" s="142">
        <f t="shared" si="1"/>
        <v>1</v>
      </c>
      <c r="G57" s="143" t="s">
        <v>198</v>
      </c>
      <c r="H57" s="144">
        <v>44557</v>
      </c>
      <c r="I57" s="144" t="s">
        <v>121</v>
      </c>
      <c r="J57" s="148" t="s">
        <v>198</v>
      </c>
      <c r="K57" s="148" t="s">
        <v>164</v>
      </c>
      <c r="L57" s="148" t="s">
        <v>164</v>
      </c>
      <c r="M57" s="148" t="s">
        <v>112</v>
      </c>
      <c r="N57" s="146" t="s">
        <v>472</v>
      </c>
      <c r="O57" s="149" t="s">
        <v>261</v>
      </c>
      <c r="P57" s="147" t="s">
        <v>192</v>
      </c>
      <c r="Q57" s="78"/>
    </row>
    <row r="58" spans="1:17" ht="16" customHeight="1">
      <c r="A58" s="228" t="s">
        <v>46</v>
      </c>
      <c r="B58" s="139" t="s">
        <v>109</v>
      </c>
      <c r="C58" s="140">
        <f t="shared" si="0"/>
        <v>4</v>
      </c>
      <c r="D58" s="141"/>
      <c r="E58" s="141"/>
      <c r="F58" s="142">
        <f t="shared" si="1"/>
        <v>4</v>
      </c>
      <c r="G58" s="143" t="s">
        <v>198</v>
      </c>
      <c r="H58" s="144">
        <v>44525</v>
      </c>
      <c r="I58" s="144" t="s">
        <v>121</v>
      </c>
      <c r="J58" s="145" t="s">
        <v>198</v>
      </c>
      <c r="K58" s="145" t="s">
        <v>198</v>
      </c>
      <c r="L58" s="145" t="s">
        <v>198</v>
      </c>
      <c r="M58" s="145" t="s">
        <v>198</v>
      </c>
      <c r="N58" s="146" t="s">
        <v>112</v>
      </c>
      <c r="O58" s="149" t="s">
        <v>262</v>
      </c>
      <c r="P58" s="147" t="s">
        <v>192</v>
      </c>
    </row>
    <row r="59" spans="1:17" ht="16" customHeight="1">
      <c r="A59" s="228" t="s">
        <v>47</v>
      </c>
      <c r="B59" s="139" t="s">
        <v>109</v>
      </c>
      <c r="C59" s="140">
        <f t="shared" si="0"/>
        <v>4</v>
      </c>
      <c r="D59" s="141"/>
      <c r="E59" s="141"/>
      <c r="F59" s="142">
        <f t="shared" si="1"/>
        <v>4</v>
      </c>
      <c r="G59" s="143" t="s">
        <v>198</v>
      </c>
      <c r="H59" s="144">
        <v>44557</v>
      </c>
      <c r="I59" s="144" t="s">
        <v>121</v>
      </c>
      <c r="J59" s="145" t="s">
        <v>198</v>
      </c>
      <c r="K59" s="145" t="s">
        <v>198</v>
      </c>
      <c r="L59" s="145" t="s">
        <v>198</v>
      </c>
      <c r="M59" s="145" t="s">
        <v>198</v>
      </c>
      <c r="N59" s="146" t="s">
        <v>112</v>
      </c>
      <c r="O59" s="149" t="s">
        <v>263</v>
      </c>
      <c r="P59" s="147" t="s">
        <v>192</v>
      </c>
    </row>
    <row r="60" spans="1:17" ht="16" customHeight="1">
      <c r="A60" s="228" t="s">
        <v>683</v>
      </c>
      <c r="B60" s="139" t="s">
        <v>109</v>
      </c>
      <c r="C60" s="140">
        <f t="shared" si="0"/>
        <v>4</v>
      </c>
      <c r="D60" s="141"/>
      <c r="E60" s="141"/>
      <c r="F60" s="142">
        <f t="shared" si="1"/>
        <v>4</v>
      </c>
      <c r="G60" s="143" t="s">
        <v>198</v>
      </c>
      <c r="H60" s="144">
        <v>44525</v>
      </c>
      <c r="I60" s="144">
        <v>44526</v>
      </c>
      <c r="J60" s="145" t="s">
        <v>198</v>
      </c>
      <c r="K60" s="145" t="s">
        <v>198</v>
      </c>
      <c r="L60" s="145" t="s">
        <v>198</v>
      </c>
      <c r="M60" s="145" t="s">
        <v>198</v>
      </c>
      <c r="N60" s="138" t="s">
        <v>461</v>
      </c>
      <c r="O60" s="149" t="s">
        <v>264</v>
      </c>
      <c r="P60" s="147" t="s">
        <v>460</v>
      </c>
      <c r="Q60" s="78" t="s">
        <v>112</v>
      </c>
    </row>
    <row r="61" spans="1:17" ht="16" customHeight="1">
      <c r="A61" s="228" t="s">
        <v>48</v>
      </c>
      <c r="B61" s="139" t="s">
        <v>109</v>
      </c>
      <c r="C61" s="140">
        <f t="shared" si="0"/>
        <v>4</v>
      </c>
      <c r="D61" s="141"/>
      <c r="E61" s="141">
        <v>0.5</v>
      </c>
      <c r="F61" s="142">
        <f t="shared" si="1"/>
        <v>2</v>
      </c>
      <c r="G61" s="143" t="s">
        <v>198</v>
      </c>
      <c r="H61" s="144">
        <v>44540</v>
      </c>
      <c r="I61" s="144">
        <v>44540</v>
      </c>
      <c r="J61" s="145" t="s">
        <v>198</v>
      </c>
      <c r="K61" s="145" t="s">
        <v>198</v>
      </c>
      <c r="L61" s="145" t="s">
        <v>198</v>
      </c>
      <c r="M61" s="145" t="s">
        <v>164</v>
      </c>
      <c r="N61" s="146" t="s">
        <v>473</v>
      </c>
      <c r="O61" s="149" t="s">
        <v>265</v>
      </c>
      <c r="P61" s="149" t="s">
        <v>474</v>
      </c>
      <c r="Q61" s="78" t="s">
        <v>112</v>
      </c>
    </row>
    <row r="62" spans="1:17" ht="16" customHeight="1">
      <c r="A62" s="228" t="s">
        <v>49</v>
      </c>
      <c r="B62" s="139" t="s">
        <v>109</v>
      </c>
      <c r="C62" s="140">
        <f t="shared" si="0"/>
        <v>4</v>
      </c>
      <c r="D62" s="141"/>
      <c r="E62" s="141"/>
      <c r="F62" s="142">
        <f t="shared" si="1"/>
        <v>4</v>
      </c>
      <c r="G62" s="143" t="s">
        <v>198</v>
      </c>
      <c r="H62" s="144">
        <v>44551</v>
      </c>
      <c r="I62" s="144">
        <v>44552</v>
      </c>
      <c r="J62" s="145" t="s">
        <v>198</v>
      </c>
      <c r="K62" s="145" t="s">
        <v>198</v>
      </c>
      <c r="L62" s="145" t="s">
        <v>198</v>
      </c>
      <c r="M62" s="145" t="s">
        <v>198</v>
      </c>
      <c r="N62" s="146" t="s">
        <v>112</v>
      </c>
      <c r="O62" s="149" t="s">
        <v>223</v>
      </c>
      <c r="P62" s="147" t="s">
        <v>192</v>
      </c>
    </row>
    <row r="63" spans="1:17" ht="16" customHeight="1">
      <c r="A63" s="228" t="s">
        <v>684</v>
      </c>
      <c r="B63" s="139" t="s">
        <v>109</v>
      </c>
      <c r="C63" s="140">
        <f t="shared" si="0"/>
        <v>4</v>
      </c>
      <c r="D63" s="141"/>
      <c r="E63" s="141"/>
      <c r="F63" s="142">
        <f t="shared" si="1"/>
        <v>4</v>
      </c>
      <c r="G63" s="143" t="s">
        <v>198</v>
      </c>
      <c r="H63" s="144">
        <v>44553</v>
      </c>
      <c r="I63" s="144" t="s">
        <v>121</v>
      </c>
      <c r="J63" s="145" t="s">
        <v>198</v>
      </c>
      <c r="K63" s="145" t="s">
        <v>198</v>
      </c>
      <c r="L63" s="145" t="s">
        <v>198</v>
      </c>
      <c r="M63" s="145" t="s">
        <v>198</v>
      </c>
      <c r="N63" s="146" t="s">
        <v>112</v>
      </c>
      <c r="O63" s="150" t="s">
        <v>128</v>
      </c>
      <c r="P63" s="147" t="s">
        <v>171</v>
      </c>
    </row>
    <row r="64" spans="1:17" s="32" customFormat="1" ht="16" customHeight="1">
      <c r="A64" s="228" t="s">
        <v>51</v>
      </c>
      <c r="B64" s="139" t="s">
        <v>109</v>
      </c>
      <c r="C64" s="140">
        <f t="shared" si="0"/>
        <v>4</v>
      </c>
      <c r="D64" s="141"/>
      <c r="E64" s="141"/>
      <c r="F64" s="142">
        <f t="shared" si="1"/>
        <v>4</v>
      </c>
      <c r="G64" s="143" t="s">
        <v>198</v>
      </c>
      <c r="H64" s="144">
        <v>44546</v>
      </c>
      <c r="I64" s="144">
        <v>44546</v>
      </c>
      <c r="J64" s="148" t="s">
        <v>198</v>
      </c>
      <c r="K64" s="148" t="s">
        <v>198</v>
      </c>
      <c r="L64" s="148" t="s">
        <v>198</v>
      </c>
      <c r="M64" s="148" t="s">
        <v>198</v>
      </c>
      <c r="N64" s="146" t="s">
        <v>112</v>
      </c>
      <c r="O64" s="149" t="s">
        <v>478</v>
      </c>
      <c r="P64" s="149" t="s">
        <v>293</v>
      </c>
      <c r="Q64" s="78" t="s">
        <v>112</v>
      </c>
    </row>
    <row r="65" spans="1:17" ht="16" customHeight="1">
      <c r="A65" s="228" t="s">
        <v>52</v>
      </c>
      <c r="B65" s="139" t="s">
        <v>109</v>
      </c>
      <c r="C65" s="140">
        <f t="shared" si="0"/>
        <v>4</v>
      </c>
      <c r="D65" s="141"/>
      <c r="E65" s="141">
        <v>0.5</v>
      </c>
      <c r="F65" s="142">
        <f t="shared" si="1"/>
        <v>2</v>
      </c>
      <c r="G65" s="143" t="s">
        <v>198</v>
      </c>
      <c r="H65" s="144">
        <v>44550</v>
      </c>
      <c r="I65" s="144" t="s">
        <v>121</v>
      </c>
      <c r="J65" s="145" t="s">
        <v>198</v>
      </c>
      <c r="K65" s="145" t="s">
        <v>198</v>
      </c>
      <c r="L65" s="145" t="s">
        <v>164</v>
      </c>
      <c r="M65" s="145" t="s">
        <v>198</v>
      </c>
      <c r="N65" s="146" t="s">
        <v>475</v>
      </c>
      <c r="O65" s="149" t="s">
        <v>129</v>
      </c>
      <c r="P65" s="147" t="s">
        <v>192</v>
      </c>
    </row>
    <row r="66" spans="1:17" ht="16" customHeight="1">
      <c r="A66" s="228" t="s">
        <v>53</v>
      </c>
      <c r="B66" s="139" t="s">
        <v>109</v>
      </c>
      <c r="C66" s="140">
        <f t="shared" si="0"/>
        <v>4</v>
      </c>
      <c r="D66" s="141"/>
      <c r="E66" s="141"/>
      <c r="F66" s="142">
        <f t="shared" si="1"/>
        <v>4</v>
      </c>
      <c r="G66" s="143" t="s">
        <v>198</v>
      </c>
      <c r="H66" s="144">
        <v>44531</v>
      </c>
      <c r="I66" s="144" t="s">
        <v>121</v>
      </c>
      <c r="J66" s="145" t="s">
        <v>198</v>
      </c>
      <c r="K66" s="145" t="s">
        <v>198</v>
      </c>
      <c r="L66" s="145" t="s">
        <v>198</v>
      </c>
      <c r="M66" s="145" t="s">
        <v>198</v>
      </c>
      <c r="N66" s="146" t="s">
        <v>112</v>
      </c>
      <c r="O66" s="149" t="s">
        <v>266</v>
      </c>
      <c r="P66" s="147" t="s">
        <v>171</v>
      </c>
    </row>
    <row r="67" spans="1:17" s="32" customFormat="1" ht="16" customHeight="1">
      <c r="A67" s="228" t="s">
        <v>54</v>
      </c>
      <c r="B67" s="139" t="s">
        <v>109</v>
      </c>
      <c r="C67" s="140">
        <f t="shared" si="0"/>
        <v>4</v>
      </c>
      <c r="D67" s="141"/>
      <c r="E67" s="141"/>
      <c r="F67" s="142">
        <f t="shared" si="1"/>
        <v>4</v>
      </c>
      <c r="G67" s="143" t="s">
        <v>198</v>
      </c>
      <c r="H67" s="144">
        <v>44532</v>
      </c>
      <c r="I67" s="144">
        <v>44532</v>
      </c>
      <c r="J67" s="148" t="s">
        <v>198</v>
      </c>
      <c r="K67" s="148" t="s">
        <v>198</v>
      </c>
      <c r="L67" s="148" t="s">
        <v>198</v>
      </c>
      <c r="M67" s="148" t="s">
        <v>198</v>
      </c>
      <c r="N67" s="146" t="s">
        <v>112</v>
      </c>
      <c r="O67" s="149" t="s">
        <v>224</v>
      </c>
      <c r="P67" s="149" t="s">
        <v>267</v>
      </c>
      <c r="Q67" s="78" t="s">
        <v>112</v>
      </c>
    </row>
    <row r="68" spans="1:17" ht="16" customHeight="1">
      <c r="A68" s="228" t="s">
        <v>55</v>
      </c>
      <c r="B68" s="139" t="s">
        <v>109</v>
      </c>
      <c r="C68" s="140">
        <f t="shared" si="0"/>
        <v>4</v>
      </c>
      <c r="D68" s="141"/>
      <c r="E68" s="141">
        <v>0.5</v>
      </c>
      <c r="F68" s="142">
        <f t="shared" si="1"/>
        <v>2</v>
      </c>
      <c r="G68" s="143" t="s">
        <v>198</v>
      </c>
      <c r="H68" s="144">
        <v>44538</v>
      </c>
      <c r="I68" s="144" t="s">
        <v>121</v>
      </c>
      <c r="J68" s="145" t="s">
        <v>198</v>
      </c>
      <c r="K68" s="145" t="s">
        <v>198</v>
      </c>
      <c r="L68" s="145" t="s">
        <v>198</v>
      </c>
      <c r="M68" s="145" t="s">
        <v>164</v>
      </c>
      <c r="N68" s="146" t="s">
        <v>473</v>
      </c>
      <c r="O68" s="149" t="s">
        <v>179</v>
      </c>
      <c r="P68" s="149" t="s">
        <v>268</v>
      </c>
      <c r="Q68" s="78" t="s">
        <v>112</v>
      </c>
    </row>
    <row r="69" spans="1:17" ht="16" customHeight="1">
      <c r="A69" s="227" t="s">
        <v>56</v>
      </c>
      <c r="B69" s="152"/>
      <c r="C69" s="153"/>
      <c r="D69" s="154"/>
      <c r="E69" s="155"/>
      <c r="F69" s="156"/>
      <c r="G69" s="156"/>
      <c r="H69" s="157"/>
      <c r="I69" s="157"/>
      <c r="J69" s="159"/>
      <c r="K69" s="159"/>
      <c r="L69" s="159"/>
      <c r="M69" s="159"/>
      <c r="N69" s="159"/>
      <c r="O69" s="160"/>
      <c r="P69" s="160"/>
    </row>
    <row r="70" spans="1:17" ht="16" customHeight="1">
      <c r="A70" s="228" t="s">
        <v>57</v>
      </c>
      <c r="B70" s="139" t="s">
        <v>109</v>
      </c>
      <c r="C70" s="140">
        <f t="shared" si="0"/>
        <v>4</v>
      </c>
      <c r="D70" s="141"/>
      <c r="E70" s="141">
        <v>0.5</v>
      </c>
      <c r="F70" s="142">
        <f t="shared" si="1"/>
        <v>2</v>
      </c>
      <c r="G70" s="143" t="s">
        <v>198</v>
      </c>
      <c r="H70" s="144">
        <v>44559</v>
      </c>
      <c r="I70" s="144" t="s">
        <v>121</v>
      </c>
      <c r="J70" s="145" t="s">
        <v>198</v>
      </c>
      <c r="K70" s="145" t="s">
        <v>198</v>
      </c>
      <c r="L70" s="145" t="s">
        <v>198</v>
      </c>
      <c r="M70" s="145" t="s">
        <v>164</v>
      </c>
      <c r="N70" s="146" t="s">
        <v>473</v>
      </c>
      <c r="O70" s="149" t="s">
        <v>269</v>
      </c>
      <c r="P70" s="147" t="s">
        <v>192</v>
      </c>
    </row>
    <row r="71" spans="1:17" ht="16" customHeight="1">
      <c r="A71" s="228" t="s">
        <v>58</v>
      </c>
      <c r="B71" s="139" t="s">
        <v>109</v>
      </c>
      <c r="C71" s="140">
        <f t="shared" si="0"/>
        <v>4</v>
      </c>
      <c r="D71" s="141"/>
      <c r="E71" s="141"/>
      <c r="F71" s="142">
        <f t="shared" si="1"/>
        <v>4</v>
      </c>
      <c r="G71" s="143" t="s">
        <v>198</v>
      </c>
      <c r="H71" s="144">
        <v>44538</v>
      </c>
      <c r="I71" s="144">
        <v>44539</v>
      </c>
      <c r="J71" s="145" t="s">
        <v>198</v>
      </c>
      <c r="K71" s="145" t="s">
        <v>198</v>
      </c>
      <c r="L71" s="145" t="s">
        <v>198</v>
      </c>
      <c r="M71" s="145" t="s">
        <v>198</v>
      </c>
      <c r="N71" s="146" t="s">
        <v>112</v>
      </c>
      <c r="O71" s="149" t="s">
        <v>180</v>
      </c>
      <c r="P71" s="163" t="s">
        <v>174</v>
      </c>
    </row>
    <row r="72" spans="1:17" ht="16" customHeight="1">
      <c r="A72" s="228" t="s">
        <v>59</v>
      </c>
      <c r="B72" s="139" t="s">
        <v>109</v>
      </c>
      <c r="C72" s="140">
        <f>IF(B72="Да, размещен ",4,0)</f>
        <v>4</v>
      </c>
      <c r="D72" s="141"/>
      <c r="E72" s="141"/>
      <c r="F72" s="142">
        <f t="shared" ref="F72:F86" si="2">C72*(1-D72)*(1-E72)</f>
        <v>4</v>
      </c>
      <c r="G72" s="143" t="s">
        <v>198</v>
      </c>
      <c r="H72" s="144">
        <v>44532</v>
      </c>
      <c r="I72" s="144">
        <v>44537</v>
      </c>
      <c r="J72" s="145" t="s">
        <v>198</v>
      </c>
      <c r="K72" s="145" t="s">
        <v>198</v>
      </c>
      <c r="L72" s="145" t="s">
        <v>198</v>
      </c>
      <c r="M72" s="145" t="s">
        <v>198</v>
      </c>
      <c r="N72" s="146" t="s">
        <v>112</v>
      </c>
      <c r="O72" s="149" t="s">
        <v>270</v>
      </c>
      <c r="P72" s="147" t="s">
        <v>192</v>
      </c>
    </row>
    <row r="73" spans="1:17" ht="16" customHeight="1">
      <c r="A73" s="228" t="s">
        <v>60</v>
      </c>
      <c r="B73" s="139" t="s">
        <v>109</v>
      </c>
      <c r="C73" s="140">
        <f>IF(B73="Да, размещен ",4,0)</f>
        <v>4</v>
      </c>
      <c r="D73" s="141"/>
      <c r="E73" s="141"/>
      <c r="F73" s="142">
        <f t="shared" si="2"/>
        <v>4</v>
      </c>
      <c r="G73" s="143" t="s">
        <v>198</v>
      </c>
      <c r="H73" s="144">
        <v>44553</v>
      </c>
      <c r="I73" s="144" t="s">
        <v>121</v>
      </c>
      <c r="J73" s="145" t="s">
        <v>198</v>
      </c>
      <c r="K73" s="145" t="s">
        <v>198</v>
      </c>
      <c r="L73" s="145" t="s">
        <v>198</v>
      </c>
      <c r="M73" s="145" t="s">
        <v>198</v>
      </c>
      <c r="N73" s="146" t="s">
        <v>112</v>
      </c>
      <c r="O73" s="150" t="s">
        <v>130</v>
      </c>
      <c r="P73" s="147" t="s">
        <v>171</v>
      </c>
    </row>
    <row r="74" spans="1:17" ht="16" customHeight="1">
      <c r="A74" s="228" t="s">
        <v>685</v>
      </c>
      <c r="B74" s="139" t="s">
        <v>109</v>
      </c>
      <c r="C74" s="140">
        <f>IF(B74="Да, размещен ",4,0)</f>
        <v>4</v>
      </c>
      <c r="D74" s="141"/>
      <c r="E74" s="141"/>
      <c r="F74" s="142">
        <f t="shared" si="2"/>
        <v>4</v>
      </c>
      <c r="G74" s="143" t="s">
        <v>198</v>
      </c>
      <c r="H74" s="144">
        <v>44525</v>
      </c>
      <c r="I74" s="144">
        <v>44526</v>
      </c>
      <c r="J74" s="145" t="s">
        <v>198</v>
      </c>
      <c r="K74" s="145" t="s">
        <v>198</v>
      </c>
      <c r="L74" s="145" t="s">
        <v>198</v>
      </c>
      <c r="M74" s="145" t="s">
        <v>198</v>
      </c>
      <c r="N74" s="146" t="s">
        <v>112</v>
      </c>
      <c r="O74" s="150" t="s">
        <v>271</v>
      </c>
      <c r="P74" s="147" t="s">
        <v>192</v>
      </c>
    </row>
    <row r="75" spans="1:17" ht="16" customHeight="1">
      <c r="A75" s="228" t="s">
        <v>61</v>
      </c>
      <c r="B75" s="139" t="s">
        <v>109</v>
      </c>
      <c r="C75" s="140">
        <f>IF(B75="Да, размещен ",4,0)</f>
        <v>4</v>
      </c>
      <c r="D75" s="141"/>
      <c r="E75" s="141"/>
      <c r="F75" s="142">
        <f t="shared" si="2"/>
        <v>4</v>
      </c>
      <c r="G75" s="143" t="s">
        <v>198</v>
      </c>
      <c r="H75" s="144">
        <v>44525</v>
      </c>
      <c r="I75" s="144">
        <v>44526</v>
      </c>
      <c r="J75" s="145" t="s">
        <v>198</v>
      </c>
      <c r="K75" s="145" t="s">
        <v>198</v>
      </c>
      <c r="L75" s="145" t="s">
        <v>198</v>
      </c>
      <c r="M75" s="145" t="s">
        <v>198</v>
      </c>
      <c r="N75" s="146" t="s">
        <v>112</v>
      </c>
      <c r="O75" s="150" t="s">
        <v>272</v>
      </c>
      <c r="P75" s="147" t="s">
        <v>171</v>
      </c>
    </row>
    <row r="76" spans="1:17" ht="16" customHeight="1">
      <c r="A76" s="227" t="s">
        <v>62</v>
      </c>
      <c r="B76" s="152"/>
      <c r="C76" s="153"/>
      <c r="D76" s="154"/>
      <c r="E76" s="155"/>
      <c r="F76" s="156"/>
      <c r="G76" s="156"/>
      <c r="H76" s="157"/>
      <c r="I76" s="157"/>
      <c r="J76" s="158"/>
      <c r="K76" s="159"/>
      <c r="L76" s="159"/>
      <c r="M76" s="159"/>
      <c r="N76" s="159"/>
      <c r="O76" s="160"/>
      <c r="P76" s="160"/>
    </row>
    <row r="77" spans="1:17" ht="16" customHeight="1">
      <c r="A77" s="228" t="s">
        <v>63</v>
      </c>
      <c r="B77" s="139" t="s">
        <v>109</v>
      </c>
      <c r="C77" s="140">
        <f t="shared" ref="C77:C86" si="3">IF(B77="Да, размещен ",4,0)</f>
        <v>4</v>
      </c>
      <c r="D77" s="141"/>
      <c r="E77" s="141"/>
      <c r="F77" s="142">
        <f t="shared" si="2"/>
        <v>4</v>
      </c>
      <c r="G77" s="143" t="s">
        <v>198</v>
      </c>
      <c r="H77" s="144">
        <v>44547</v>
      </c>
      <c r="I77" s="144" t="s">
        <v>121</v>
      </c>
      <c r="J77" s="145" t="s">
        <v>198</v>
      </c>
      <c r="K77" s="145" t="s">
        <v>198</v>
      </c>
      <c r="L77" s="145" t="s">
        <v>198</v>
      </c>
      <c r="M77" s="145" t="s">
        <v>198</v>
      </c>
      <c r="N77" s="146" t="s">
        <v>112</v>
      </c>
      <c r="O77" s="150" t="s">
        <v>273</v>
      </c>
      <c r="P77" s="147" t="s">
        <v>171</v>
      </c>
    </row>
    <row r="78" spans="1:17" ht="16" customHeight="1">
      <c r="A78" s="228" t="s">
        <v>65</v>
      </c>
      <c r="B78" s="139" t="s">
        <v>110</v>
      </c>
      <c r="C78" s="140">
        <f t="shared" si="3"/>
        <v>0</v>
      </c>
      <c r="D78" s="141"/>
      <c r="E78" s="141"/>
      <c r="F78" s="142">
        <f t="shared" si="2"/>
        <v>0</v>
      </c>
      <c r="G78" s="143" t="s">
        <v>456</v>
      </c>
      <c r="H78" s="144">
        <v>44543</v>
      </c>
      <c r="I78" s="144" t="s">
        <v>112</v>
      </c>
      <c r="J78" s="148" t="s">
        <v>112</v>
      </c>
      <c r="K78" s="148" t="s">
        <v>112</v>
      </c>
      <c r="L78" s="148" t="s">
        <v>112</v>
      </c>
      <c r="M78" s="148" t="s">
        <v>112</v>
      </c>
      <c r="N78" s="146" t="s">
        <v>457</v>
      </c>
      <c r="O78" s="149" t="s">
        <v>274</v>
      </c>
      <c r="P78" s="147" t="s">
        <v>192</v>
      </c>
    </row>
    <row r="79" spans="1:17" ht="16" customHeight="1">
      <c r="A79" s="228" t="s">
        <v>66</v>
      </c>
      <c r="B79" s="139" t="s">
        <v>109</v>
      </c>
      <c r="C79" s="140">
        <f t="shared" si="3"/>
        <v>4</v>
      </c>
      <c r="D79" s="141"/>
      <c r="E79" s="141"/>
      <c r="F79" s="142">
        <f t="shared" si="2"/>
        <v>4</v>
      </c>
      <c r="G79" s="143" t="s">
        <v>198</v>
      </c>
      <c r="H79" s="144">
        <v>44547</v>
      </c>
      <c r="I79" s="144" t="s">
        <v>121</v>
      </c>
      <c r="J79" s="145" t="s">
        <v>198</v>
      </c>
      <c r="K79" s="145" t="s">
        <v>198</v>
      </c>
      <c r="L79" s="145" t="s">
        <v>198</v>
      </c>
      <c r="M79" s="145" t="s">
        <v>198</v>
      </c>
      <c r="N79" s="146" t="s">
        <v>112</v>
      </c>
      <c r="O79" s="150" t="s">
        <v>275</v>
      </c>
      <c r="P79" s="147" t="s">
        <v>192</v>
      </c>
    </row>
    <row r="80" spans="1:17" ht="16" customHeight="1">
      <c r="A80" s="228" t="s">
        <v>67</v>
      </c>
      <c r="B80" s="139" t="s">
        <v>109</v>
      </c>
      <c r="C80" s="140">
        <f t="shared" si="3"/>
        <v>4</v>
      </c>
      <c r="D80" s="141"/>
      <c r="E80" s="141"/>
      <c r="F80" s="142">
        <f t="shared" si="2"/>
        <v>4</v>
      </c>
      <c r="G80" s="143" t="s">
        <v>198</v>
      </c>
      <c r="H80" s="144">
        <v>44530</v>
      </c>
      <c r="I80" s="144" t="s">
        <v>121</v>
      </c>
      <c r="J80" s="145" t="s">
        <v>198</v>
      </c>
      <c r="K80" s="145" t="s">
        <v>198</v>
      </c>
      <c r="L80" s="145" t="s">
        <v>198</v>
      </c>
      <c r="M80" s="145" t="s">
        <v>198</v>
      </c>
      <c r="N80" s="146" t="s">
        <v>112</v>
      </c>
      <c r="O80" s="150" t="s">
        <v>276</v>
      </c>
      <c r="P80" s="147" t="s">
        <v>192</v>
      </c>
    </row>
    <row r="81" spans="1:17" ht="16" customHeight="1">
      <c r="A81" s="228" t="s">
        <v>69</v>
      </c>
      <c r="B81" s="139" t="s">
        <v>109</v>
      </c>
      <c r="C81" s="140">
        <f t="shared" si="3"/>
        <v>4</v>
      </c>
      <c r="D81" s="141"/>
      <c r="E81" s="141"/>
      <c r="F81" s="142">
        <f t="shared" si="2"/>
        <v>4</v>
      </c>
      <c r="G81" s="143" t="s">
        <v>198</v>
      </c>
      <c r="H81" s="144">
        <v>44919</v>
      </c>
      <c r="I81" s="144">
        <v>44554</v>
      </c>
      <c r="J81" s="148" t="s">
        <v>198</v>
      </c>
      <c r="K81" s="148" t="s">
        <v>198</v>
      </c>
      <c r="L81" s="148" t="s">
        <v>198</v>
      </c>
      <c r="M81" s="148" t="s">
        <v>198</v>
      </c>
      <c r="N81" s="146" t="s">
        <v>479</v>
      </c>
      <c r="O81" s="149" t="s">
        <v>145</v>
      </c>
      <c r="P81" s="147" t="s">
        <v>192</v>
      </c>
    </row>
    <row r="82" spans="1:17" ht="16" customHeight="1">
      <c r="A82" s="228" t="s">
        <v>70</v>
      </c>
      <c r="B82" s="139" t="s">
        <v>109</v>
      </c>
      <c r="C82" s="140">
        <f t="shared" si="3"/>
        <v>4</v>
      </c>
      <c r="D82" s="141"/>
      <c r="E82" s="141"/>
      <c r="F82" s="142">
        <f t="shared" si="2"/>
        <v>4</v>
      </c>
      <c r="G82" s="143" t="s">
        <v>198</v>
      </c>
      <c r="H82" s="144">
        <v>44546</v>
      </c>
      <c r="I82" s="144">
        <v>44546</v>
      </c>
      <c r="J82" s="148" t="s">
        <v>198</v>
      </c>
      <c r="K82" s="148" t="s">
        <v>198</v>
      </c>
      <c r="L82" s="148" t="s">
        <v>198</v>
      </c>
      <c r="M82" s="148" t="s">
        <v>198</v>
      </c>
      <c r="N82" s="146" t="s">
        <v>112</v>
      </c>
      <c r="O82" s="149" t="s">
        <v>225</v>
      </c>
      <c r="P82" s="149" t="s">
        <v>292</v>
      </c>
      <c r="Q82" s="78" t="s">
        <v>112</v>
      </c>
    </row>
    <row r="83" spans="1:17" ht="16" customHeight="1">
      <c r="A83" s="228" t="s">
        <v>686</v>
      </c>
      <c r="B83" s="139" t="s">
        <v>109</v>
      </c>
      <c r="C83" s="140">
        <f t="shared" si="3"/>
        <v>4</v>
      </c>
      <c r="D83" s="141"/>
      <c r="E83" s="141"/>
      <c r="F83" s="142">
        <f t="shared" si="2"/>
        <v>4</v>
      </c>
      <c r="G83" s="143" t="s">
        <v>198</v>
      </c>
      <c r="H83" s="144">
        <v>44545</v>
      </c>
      <c r="I83" s="144">
        <v>44547</v>
      </c>
      <c r="J83" s="145" t="s">
        <v>198</v>
      </c>
      <c r="K83" s="145" t="s">
        <v>198</v>
      </c>
      <c r="L83" s="145" t="s">
        <v>198</v>
      </c>
      <c r="M83" s="145" t="s">
        <v>198</v>
      </c>
      <c r="N83" s="146" t="s">
        <v>112</v>
      </c>
      <c r="O83" s="150" t="s">
        <v>277</v>
      </c>
      <c r="P83" s="147" t="s">
        <v>192</v>
      </c>
    </row>
    <row r="84" spans="1:17" ht="16" customHeight="1">
      <c r="A84" s="228" t="s">
        <v>71</v>
      </c>
      <c r="B84" s="139" t="s">
        <v>109</v>
      </c>
      <c r="C84" s="140">
        <f t="shared" si="3"/>
        <v>4</v>
      </c>
      <c r="D84" s="141"/>
      <c r="E84" s="141"/>
      <c r="F84" s="142">
        <f t="shared" si="2"/>
        <v>4</v>
      </c>
      <c r="G84" s="143" t="s">
        <v>198</v>
      </c>
      <c r="H84" s="144">
        <v>44553</v>
      </c>
      <c r="I84" s="144">
        <v>44558</v>
      </c>
      <c r="J84" s="145" t="s">
        <v>198</v>
      </c>
      <c r="K84" s="145" t="s">
        <v>198</v>
      </c>
      <c r="L84" s="145" t="s">
        <v>198</v>
      </c>
      <c r="M84" s="145" t="s">
        <v>198</v>
      </c>
      <c r="N84" s="146" t="s">
        <v>112</v>
      </c>
      <c r="O84" s="150" t="s">
        <v>181</v>
      </c>
      <c r="P84" s="147" t="s">
        <v>171</v>
      </c>
    </row>
    <row r="85" spans="1:17" ht="16" customHeight="1">
      <c r="A85" s="228" t="s">
        <v>72</v>
      </c>
      <c r="B85" s="139" t="s">
        <v>109</v>
      </c>
      <c r="C85" s="140">
        <f t="shared" si="3"/>
        <v>4</v>
      </c>
      <c r="D85" s="141"/>
      <c r="E85" s="141"/>
      <c r="F85" s="142">
        <f t="shared" si="2"/>
        <v>4</v>
      </c>
      <c r="G85" s="143" t="s">
        <v>198</v>
      </c>
      <c r="H85" s="144">
        <v>44546</v>
      </c>
      <c r="I85" s="144">
        <v>44552</v>
      </c>
      <c r="J85" s="145" t="s">
        <v>198</v>
      </c>
      <c r="K85" s="145" t="s">
        <v>198</v>
      </c>
      <c r="L85" s="145" t="s">
        <v>198</v>
      </c>
      <c r="M85" s="145" t="s">
        <v>198</v>
      </c>
      <c r="N85" s="146" t="s">
        <v>112</v>
      </c>
      <c r="O85" s="150" t="s">
        <v>278</v>
      </c>
      <c r="P85" s="147" t="s">
        <v>171</v>
      </c>
    </row>
    <row r="86" spans="1:17" ht="16" customHeight="1">
      <c r="A86" s="228" t="s">
        <v>73</v>
      </c>
      <c r="B86" s="139" t="s">
        <v>109</v>
      </c>
      <c r="C86" s="140">
        <f t="shared" si="3"/>
        <v>4</v>
      </c>
      <c r="D86" s="141"/>
      <c r="E86" s="141"/>
      <c r="F86" s="142">
        <f t="shared" si="2"/>
        <v>4</v>
      </c>
      <c r="G86" s="143" t="s">
        <v>198</v>
      </c>
      <c r="H86" s="144">
        <v>44559</v>
      </c>
      <c r="I86" s="144">
        <v>44559</v>
      </c>
      <c r="J86" s="145" t="s">
        <v>198</v>
      </c>
      <c r="K86" s="145" t="s">
        <v>198</v>
      </c>
      <c r="L86" s="145" t="s">
        <v>198</v>
      </c>
      <c r="M86" s="145" t="s">
        <v>198</v>
      </c>
      <c r="N86" s="146" t="s">
        <v>112</v>
      </c>
      <c r="O86" s="150" t="s">
        <v>279</v>
      </c>
      <c r="P86" s="147" t="s">
        <v>192</v>
      </c>
    </row>
    <row r="87" spans="1:17" ht="16" customHeight="1">
      <c r="A87" s="227" t="s">
        <v>74</v>
      </c>
      <c r="B87" s="152"/>
      <c r="C87" s="153"/>
      <c r="D87" s="154"/>
      <c r="E87" s="155"/>
      <c r="F87" s="156"/>
      <c r="G87" s="156"/>
      <c r="H87" s="157"/>
      <c r="I87" s="157"/>
      <c r="J87" s="158"/>
      <c r="K87" s="159"/>
      <c r="L87" s="159"/>
      <c r="M87" s="159"/>
      <c r="N87" s="159"/>
      <c r="O87" s="160"/>
      <c r="P87" s="160"/>
    </row>
    <row r="88" spans="1:17" ht="16" customHeight="1">
      <c r="A88" s="228" t="s">
        <v>64</v>
      </c>
      <c r="B88" s="139" t="s">
        <v>109</v>
      </c>
      <c r="C88" s="140">
        <f t="shared" ref="C88:C98" si="4">IF(B88="Да, размещен ",4,0)</f>
        <v>4</v>
      </c>
      <c r="D88" s="141"/>
      <c r="E88" s="141"/>
      <c r="F88" s="142">
        <f>C88*(1-D88)*(1-E88)</f>
        <v>4</v>
      </c>
      <c r="G88" s="143" t="s">
        <v>198</v>
      </c>
      <c r="H88" s="144">
        <v>44553</v>
      </c>
      <c r="I88" s="144" t="s">
        <v>121</v>
      </c>
      <c r="J88" s="145" t="s">
        <v>198</v>
      </c>
      <c r="K88" s="145" t="s">
        <v>198</v>
      </c>
      <c r="L88" s="145" t="s">
        <v>198</v>
      </c>
      <c r="M88" s="145" t="s">
        <v>198</v>
      </c>
      <c r="N88" s="146" t="s">
        <v>112</v>
      </c>
      <c r="O88" s="149" t="s">
        <v>280</v>
      </c>
      <c r="P88" s="147" t="s">
        <v>171</v>
      </c>
    </row>
    <row r="89" spans="1:17" ht="16" customHeight="1">
      <c r="A89" s="228" t="s">
        <v>75</v>
      </c>
      <c r="B89" s="139" t="s">
        <v>109</v>
      </c>
      <c r="C89" s="140">
        <f t="shared" si="4"/>
        <v>4</v>
      </c>
      <c r="D89" s="141"/>
      <c r="E89" s="141"/>
      <c r="F89" s="142">
        <f>C89*(1-D89)*(1-E89)</f>
        <v>4</v>
      </c>
      <c r="G89" s="143" t="s">
        <v>198</v>
      </c>
      <c r="H89" s="144">
        <v>44530</v>
      </c>
      <c r="I89" s="144" t="s">
        <v>121</v>
      </c>
      <c r="J89" s="145" t="s">
        <v>198</v>
      </c>
      <c r="K89" s="145" t="s">
        <v>198</v>
      </c>
      <c r="L89" s="145" t="s">
        <v>198</v>
      </c>
      <c r="M89" s="145" t="s">
        <v>198</v>
      </c>
      <c r="N89" s="146" t="s">
        <v>661</v>
      </c>
      <c r="O89" s="149" t="s">
        <v>281</v>
      </c>
      <c r="P89" s="147" t="s">
        <v>462</v>
      </c>
      <c r="Q89" s="78" t="s">
        <v>112</v>
      </c>
    </row>
    <row r="90" spans="1:17" ht="16" customHeight="1">
      <c r="A90" s="228" t="s">
        <v>68</v>
      </c>
      <c r="B90" s="139" t="s">
        <v>109</v>
      </c>
      <c r="C90" s="140">
        <f t="shared" si="4"/>
        <v>4</v>
      </c>
      <c r="D90" s="141"/>
      <c r="E90" s="141"/>
      <c r="F90" s="142">
        <f>C90*(1-D90)*(1-E90)</f>
        <v>4</v>
      </c>
      <c r="G90" s="143" t="s">
        <v>198</v>
      </c>
      <c r="H90" s="144">
        <v>44560</v>
      </c>
      <c r="I90" s="144">
        <v>44580</v>
      </c>
      <c r="J90" s="145" t="s">
        <v>198</v>
      </c>
      <c r="K90" s="145" t="s">
        <v>198</v>
      </c>
      <c r="L90" s="145" t="s">
        <v>198</v>
      </c>
      <c r="M90" s="145" t="s">
        <v>198</v>
      </c>
      <c r="N90" s="146" t="s">
        <v>112</v>
      </c>
      <c r="O90" s="149" t="s">
        <v>182</v>
      </c>
      <c r="P90" s="147" t="s">
        <v>171</v>
      </c>
    </row>
    <row r="91" spans="1:17" ht="16" customHeight="1">
      <c r="A91" s="228" t="s">
        <v>76</v>
      </c>
      <c r="B91" s="139" t="s">
        <v>109</v>
      </c>
      <c r="C91" s="140">
        <f t="shared" si="4"/>
        <v>4</v>
      </c>
      <c r="D91" s="141"/>
      <c r="E91" s="141"/>
      <c r="F91" s="142">
        <f>C91*(1-D91)*(1-E91)</f>
        <v>4</v>
      </c>
      <c r="G91" s="143" t="s">
        <v>198</v>
      </c>
      <c r="H91" s="144">
        <v>44526</v>
      </c>
      <c r="I91" s="144">
        <v>44530</v>
      </c>
      <c r="J91" s="145" t="s">
        <v>198</v>
      </c>
      <c r="K91" s="145" t="s">
        <v>198</v>
      </c>
      <c r="L91" s="145" t="s">
        <v>198</v>
      </c>
      <c r="M91" s="145" t="s">
        <v>198</v>
      </c>
      <c r="N91" s="146" t="s">
        <v>112</v>
      </c>
      <c r="O91" s="150" t="s">
        <v>282</v>
      </c>
      <c r="P91" s="147" t="s">
        <v>171</v>
      </c>
    </row>
    <row r="92" spans="1:17" ht="16" customHeight="1">
      <c r="A92" s="228" t="s">
        <v>77</v>
      </c>
      <c r="B92" s="139" t="s">
        <v>109</v>
      </c>
      <c r="C92" s="140">
        <f t="shared" si="4"/>
        <v>4</v>
      </c>
      <c r="D92" s="141"/>
      <c r="E92" s="141"/>
      <c r="F92" s="142">
        <f t="shared" ref="F92:F98" si="5">C92*(1-D92)*(1-E92)</f>
        <v>4</v>
      </c>
      <c r="G92" s="143" t="s">
        <v>198</v>
      </c>
      <c r="H92" s="144">
        <v>44551</v>
      </c>
      <c r="I92" s="144">
        <v>44553</v>
      </c>
      <c r="J92" s="145" t="s">
        <v>198</v>
      </c>
      <c r="K92" s="145" t="s">
        <v>198</v>
      </c>
      <c r="L92" s="145" t="s">
        <v>198</v>
      </c>
      <c r="M92" s="145" t="s">
        <v>198</v>
      </c>
      <c r="N92" s="146" t="s">
        <v>112</v>
      </c>
      <c r="O92" s="150" t="s">
        <v>183</v>
      </c>
      <c r="P92" s="147" t="s">
        <v>171</v>
      </c>
    </row>
    <row r="93" spans="1:17" ht="16" customHeight="1">
      <c r="A93" s="228" t="s">
        <v>78</v>
      </c>
      <c r="B93" s="139" t="s">
        <v>109</v>
      </c>
      <c r="C93" s="140">
        <f t="shared" si="4"/>
        <v>4</v>
      </c>
      <c r="D93" s="141"/>
      <c r="E93" s="141"/>
      <c r="F93" s="142">
        <f t="shared" si="5"/>
        <v>4</v>
      </c>
      <c r="G93" s="143" t="s">
        <v>198</v>
      </c>
      <c r="H93" s="144">
        <v>44510</v>
      </c>
      <c r="I93" s="144">
        <v>44523</v>
      </c>
      <c r="J93" s="145" t="s">
        <v>198</v>
      </c>
      <c r="K93" s="145" t="s">
        <v>198</v>
      </c>
      <c r="L93" s="145" t="s">
        <v>198</v>
      </c>
      <c r="M93" s="145" t="s">
        <v>198</v>
      </c>
      <c r="N93" s="146" t="s">
        <v>112</v>
      </c>
      <c r="O93" s="150" t="s">
        <v>283</v>
      </c>
      <c r="P93" s="147" t="s">
        <v>192</v>
      </c>
    </row>
    <row r="94" spans="1:17" ht="16" customHeight="1">
      <c r="A94" s="228" t="s">
        <v>79</v>
      </c>
      <c r="B94" s="139" t="s">
        <v>110</v>
      </c>
      <c r="C94" s="140">
        <f t="shared" si="4"/>
        <v>0</v>
      </c>
      <c r="D94" s="141"/>
      <c r="E94" s="141"/>
      <c r="F94" s="142">
        <f t="shared" si="5"/>
        <v>0</v>
      </c>
      <c r="G94" s="143" t="s">
        <v>455</v>
      </c>
      <c r="H94" s="144">
        <v>44539</v>
      </c>
      <c r="I94" s="144">
        <v>44558</v>
      </c>
      <c r="J94" s="148" t="s">
        <v>112</v>
      </c>
      <c r="K94" s="148" t="s">
        <v>112</v>
      </c>
      <c r="L94" s="148" t="s">
        <v>112</v>
      </c>
      <c r="M94" s="148" t="s">
        <v>112</v>
      </c>
      <c r="N94" s="146" t="s">
        <v>454</v>
      </c>
      <c r="O94" s="149" t="s">
        <v>184</v>
      </c>
      <c r="P94" s="149" t="s">
        <v>284</v>
      </c>
      <c r="Q94" s="78" t="s">
        <v>112</v>
      </c>
    </row>
    <row r="95" spans="1:17" ht="16" customHeight="1">
      <c r="A95" s="228" t="s">
        <v>80</v>
      </c>
      <c r="B95" s="139" t="s">
        <v>110</v>
      </c>
      <c r="C95" s="140">
        <f t="shared" si="4"/>
        <v>0</v>
      </c>
      <c r="D95" s="141"/>
      <c r="E95" s="141"/>
      <c r="F95" s="142">
        <f t="shared" si="5"/>
        <v>0</v>
      </c>
      <c r="G95" s="143" t="s">
        <v>455</v>
      </c>
      <c r="H95" s="144">
        <v>44533</v>
      </c>
      <c r="I95" s="161">
        <v>44557</v>
      </c>
      <c r="J95" s="148" t="s">
        <v>112</v>
      </c>
      <c r="K95" s="148" t="s">
        <v>112</v>
      </c>
      <c r="L95" s="148" t="s">
        <v>112</v>
      </c>
      <c r="M95" s="148" t="s">
        <v>112</v>
      </c>
      <c r="N95" s="146" t="s">
        <v>454</v>
      </c>
      <c r="O95" s="149" t="s">
        <v>226</v>
      </c>
      <c r="P95" s="149" t="s">
        <v>285</v>
      </c>
      <c r="Q95" s="78" t="s">
        <v>112</v>
      </c>
    </row>
    <row r="96" spans="1:17" ht="16" customHeight="1">
      <c r="A96" s="228" t="s">
        <v>81</v>
      </c>
      <c r="B96" s="139" t="s">
        <v>109</v>
      </c>
      <c r="C96" s="140">
        <f t="shared" si="4"/>
        <v>4</v>
      </c>
      <c r="D96" s="141"/>
      <c r="E96" s="141"/>
      <c r="F96" s="142">
        <f t="shared" si="5"/>
        <v>4</v>
      </c>
      <c r="G96" s="143" t="s">
        <v>198</v>
      </c>
      <c r="H96" s="144">
        <v>44552</v>
      </c>
      <c r="I96" s="144" t="s">
        <v>121</v>
      </c>
      <c r="J96" s="145" t="s">
        <v>198</v>
      </c>
      <c r="K96" s="145" t="s">
        <v>198</v>
      </c>
      <c r="L96" s="145" t="s">
        <v>198</v>
      </c>
      <c r="M96" s="145" t="s">
        <v>198</v>
      </c>
      <c r="N96" s="146" t="s">
        <v>112</v>
      </c>
      <c r="O96" s="149" t="s">
        <v>185</v>
      </c>
      <c r="P96" s="149" t="s">
        <v>286</v>
      </c>
      <c r="Q96" s="78" t="s">
        <v>112</v>
      </c>
    </row>
    <row r="97" spans="1:17" ht="16" customHeight="1">
      <c r="A97" s="228" t="s">
        <v>82</v>
      </c>
      <c r="B97" s="139" t="s">
        <v>109</v>
      </c>
      <c r="C97" s="140">
        <f t="shared" si="4"/>
        <v>4</v>
      </c>
      <c r="D97" s="141"/>
      <c r="E97" s="141">
        <v>0.5</v>
      </c>
      <c r="F97" s="142">
        <f t="shared" si="5"/>
        <v>2</v>
      </c>
      <c r="G97" s="143" t="s">
        <v>198</v>
      </c>
      <c r="H97" s="144">
        <v>44544</v>
      </c>
      <c r="I97" s="161" t="s">
        <v>121</v>
      </c>
      <c r="J97" s="145" t="s">
        <v>198</v>
      </c>
      <c r="K97" s="145" t="s">
        <v>198</v>
      </c>
      <c r="L97" s="145" t="s">
        <v>164</v>
      </c>
      <c r="M97" s="145" t="s">
        <v>198</v>
      </c>
      <c r="N97" s="146" t="s">
        <v>475</v>
      </c>
      <c r="O97" s="149" t="s">
        <v>476</v>
      </c>
      <c r="P97" s="147" t="s">
        <v>192</v>
      </c>
    </row>
    <row r="98" spans="1:17" ht="16" customHeight="1">
      <c r="A98" s="228" t="s">
        <v>83</v>
      </c>
      <c r="B98" s="139" t="s">
        <v>109</v>
      </c>
      <c r="C98" s="140">
        <f t="shared" si="4"/>
        <v>4</v>
      </c>
      <c r="D98" s="141"/>
      <c r="E98" s="141">
        <v>0.5</v>
      </c>
      <c r="F98" s="142">
        <f t="shared" si="5"/>
        <v>2</v>
      </c>
      <c r="G98" s="143" t="s">
        <v>198</v>
      </c>
      <c r="H98" s="144">
        <v>44531</v>
      </c>
      <c r="I98" s="161" t="s">
        <v>121</v>
      </c>
      <c r="J98" s="145" t="s">
        <v>198</v>
      </c>
      <c r="K98" s="145" t="s">
        <v>198</v>
      </c>
      <c r="L98" s="145" t="s">
        <v>198</v>
      </c>
      <c r="M98" s="145" t="s">
        <v>164</v>
      </c>
      <c r="N98" s="146" t="s">
        <v>473</v>
      </c>
      <c r="O98" s="149" t="s">
        <v>186</v>
      </c>
      <c r="P98" s="149" t="s">
        <v>291</v>
      </c>
      <c r="Q98" s="78" t="s">
        <v>112</v>
      </c>
    </row>
  </sheetData>
  <mergeCells count="19">
    <mergeCell ref="K3:K5"/>
    <mergeCell ref="L3:L5"/>
    <mergeCell ref="M3:M5"/>
    <mergeCell ref="C4:C5"/>
    <mergeCell ref="A1:P1"/>
    <mergeCell ref="A2:P2"/>
    <mergeCell ref="A3:A5"/>
    <mergeCell ref="C3:F3"/>
    <mergeCell ref="H3:H5"/>
    <mergeCell ref="D4:D5"/>
    <mergeCell ref="F4:F5"/>
    <mergeCell ref="I3:I5"/>
    <mergeCell ref="O3:P3"/>
    <mergeCell ref="E4:E5"/>
    <mergeCell ref="O4:O5"/>
    <mergeCell ref="P4:P5"/>
    <mergeCell ref="N3:N5"/>
    <mergeCell ref="G3:G5"/>
    <mergeCell ref="J3:J5"/>
  </mergeCells>
  <conditionalFormatting sqref="A7:A24">
    <cfRule type="dataBar" priority="2">
      <dataBar>
        <cfvo type="min"/>
        <cfvo type="max"/>
        <color rgb="FF638EC6"/>
      </dataBar>
      <extLst>
        <ext xmlns:x14="http://schemas.microsoft.com/office/spreadsheetml/2009/9/main" uri="{B025F937-C7B1-47D3-B67F-A62EFF666E3E}">
          <x14:id>{C76AC05A-5A71-4847-87E7-6257962239F3}</x14:id>
        </ext>
      </extLst>
    </cfRule>
  </conditionalFormatting>
  <dataValidations count="2">
    <dataValidation type="list" allowBlank="1" showInputMessage="1" showErrorMessage="1" sqref="B25 B37 B46 B54 B69 B76 B87" xr:uid="{00000000-0002-0000-0300-000000000000}">
      <formula1>#REF!</formula1>
    </dataValidation>
    <dataValidation type="list" allowBlank="1" showInputMessage="1" showErrorMessage="1" sqref="B47:B53 B26:B36 B6:B24 B38:B45 B70:B75 B55:B68 B88:B98 B77:B86" xr:uid="{00000000-0002-0000-0300-000001000000}">
      <formula1>$B$4:$B$5</formula1>
    </dataValidation>
  </dataValidations>
  <hyperlinks>
    <hyperlink ref="O9" r:id="rId1" xr:uid="{00000000-0004-0000-0300-000000000000}"/>
    <hyperlink ref="O21" r:id="rId2" display="http://www.tverfin.ru/np-baza/regionalnye-normativnye-pravovye-akty/ " xr:uid="{00000000-0004-0000-0300-000001000000}"/>
    <hyperlink ref="O8" r:id="rId3" xr:uid="{00000000-0004-0000-0300-000002000000}"/>
    <hyperlink ref="O11" r:id="rId4" xr:uid="{00000000-0004-0000-0300-000003000000}"/>
    <hyperlink ref="P16" r:id="rId5" xr:uid="{00000000-0004-0000-0300-000004000000}"/>
    <hyperlink ref="O15" r:id="rId6" xr:uid="{00000000-0004-0000-0300-000005000000}"/>
    <hyperlink ref="O16" r:id="rId7" display="http://mef.mosreg.ru " xr:uid="{00000000-0004-0000-0300-000006000000}"/>
    <hyperlink ref="O17" r:id="rId8" xr:uid="{00000000-0004-0000-0300-000007000000}"/>
    <hyperlink ref="P17" r:id="rId9" display="http://depfin.orel-region.ru:8096/ebudget/Menu/Page/36" xr:uid="{00000000-0004-0000-0300-000008000000}"/>
    <hyperlink ref="O22" r:id="rId10" xr:uid="{00000000-0004-0000-0300-000009000000}"/>
    <hyperlink ref="O23" r:id="rId11" xr:uid="{00000000-0004-0000-0300-00000A000000}"/>
    <hyperlink ref="O24" r:id="rId12" display="https://www.mos.ru/findep/ " xr:uid="{00000000-0004-0000-0300-00000B000000}"/>
    <hyperlink ref="O28" r:id="rId13" xr:uid="{00000000-0004-0000-0300-00000C000000}"/>
    <hyperlink ref="O30" r:id="rId14" xr:uid="{00000000-0004-0000-0300-00000D000000}"/>
    <hyperlink ref="O32" r:id="rId15" xr:uid="{00000000-0004-0000-0300-00000E000000}"/>
    <hyperlink ref="O34" r:id="rId16" display="http://finance.pskov.ru/doc/documents" xr:uid="{00000000-0004-0000-0300-00000F000000}"/>
    <hyperlink ref="P34" r:id="rId17" display="http://bks.pskov.ru/ebudget/Show/Category/10?ItemId=257" xr:uid="{00000000-0004-0000-0300-000010000000}"/>
    <hyperlink ref="O36" r:id="rId18" xr:uid="{00000000-0004-0000-0300-000011000000}"/>
    <hyperlink ref="O47" r:id="rId19" xr:uid="{00000000-0004-0000-0300-000012000000}"/>
    <hyperlink ref="O53" r:id="rId20" xr:uid="{00000000-0004-0000-0300-000014000000}"/>
    <hyperlink ref="O63" r:id="rId21" xr:uid="{00000000-0004-0000-0300-000016000000}"/>
    <hyperlink ref="O65" r:id="rId22" xr:uid="{00000000-0004-0000-0300-000018000000}"/>
    <hyperlink ref="O68" r:id="rId23" display="http://ufo.ulntc.ru/index.php?mgf=budget/open_budget&amp;slep=net" xr:uid="{00000000-0004-0000-0300-000019000000}"/>
    <hyperlink ref="O71" r:id="rId24" location="document_list" display="https://minfin.midural.ru/document/category/20 - document_list - document_list" xr:uid="{00000000-0004-0000-0300-00001A000000}"/>
    <hyperlink ref="O73" r:id="rId25" xr:uid="{00000000-0004-0000-0300-00001B000000}"/>
    <hyperlink ref="O81" r:id="rId26" xr:uid="{00000000-0004-0000-0300-00001C000000}"/>
    <hyperlink ref="O84" r:id="rId27" xr:uid="{00000000-0004-0000-0300-00001D000000}"/>
    <hyperlink ref="O90" r:id="rId28" xr:uid="{00000000-0004-0000-0300-00001E000000}"/>
    <hyperlink ref="O92" r:id="rId29" xr:uid="{00000000-0004-0000-0300-00001F000000}"/>
    <hyperlink ref="O94" r:id="rId30" display="https://www.fin.amurobl.ru/pages/normativno-pravovye-akty/regionalnyy-uroven/zakony-ao/" xr:uid="{00000000-0004-0000-0300-000020000000}"/>
    <hyperlink ref="O95" r:id="rId31" display="https://minfin.49gov.ru/documents/" xr:uid="{00000000-0004-0000-0300-000021000000}"/>
    <hyperlink ref="O96" r:id="rId32" display="http://sakhminfin.ru/" xr:uid="{00000000-0004-0000-0300-000022000000}"/>
    <hyperlink ref="O98" r:id="rId33" display="http://чукотка.рф/vlast/organy-vlasti/depfin/" xr:uid="{00000000-0004-0000-0300-000024000000}"/>
    <hyperlink ref="P98" r:id="rId34" xr:uid="{00000000-0004-0000-0300-000025000000}"/>
    <hyperlink ref="O18" r:id="rId35" xr:uid="{00000000-0004-0000-0300-000026000000}"/>
    <hyperlink ref="O50" r:id="rId36" xr:uid="{00000000-0004-0000-0300-000027000000}"/>
    <hyperlink ref="P52" r:id="rId37" display="http://forcitizens.ru/ob/dokumenty/zakon-o-byudzhete/2022-god" xr:uid="{00000000-0004-0000-0300-000028000000}"/>
    <hyperlink ref="O62" r:id="rId38" xr:uid="{00000000-0004-0000-0300-000029000000}"/>
    <hyperlink ref="O67" r:id="rId39" display="http://saratov.gov.ru/gov/auth/minfin/" xr:uid="{00000000-0004-0000-0300-00002A000000}"/>
    <hyperlink ref="O82" r:id="rId40" xr:uid="{00000000-0004-0000-0300-00002B000000}"/>
    <hyperlink ref="O7" r:id="rId41" xr:uid="{00000000-0004-0000-0300-00002C000000}"/>
    <hyperlink ref="O10" r:id="rId42" xr:uid="{00000000-0004-0000-0300-00002D000000}"/>
    <hyperlink ref="O12" r:id="rId43" xr:uid="{00000000-0004-0000-0300-00002E000000}"/>
    <hyperlink ref="O13" r:id="rId44" xr:uid="{00000000-0004-0000-0300-00002F000000}"/>
    <hyperlink ref="O14" r:id="rId45" xr:uid="{00000000-0004-0000-0300-000030000000}"/>
    <hyperlink ref="O19" r:id="rId46" xr:uid="{00000000-0004-0000-0300-000031000000}"/>
    <hyperlink ref="O20" r:id="rId47" xr:uid="{00000000-0004-0000-0300-000032000000}"/>
    <hyperlink ref="P21" r:id="rId48" xr:uid="{00000000-0004-0000-0300-000033000000}"/>
    <hyperlink ref="P24" r:id="rId49" xr:uid="{00000000-0004-0000-0300-000034000000}"/>
    <hyperlink ref="O26" r:id="rId50" xr:uid="{00000000-0004-0000-0300-000035000000}"/>
    <hyperlink ref="O27" r:id="rId51" xr:uid="{00000000-0004-0000-0300-000036000000}"/>
    <hyperlink ref="O29" r:id="rId52" xr:uid="{00000000-0004-0000-0300-000037000000}"/>
    <hyperlink ref="O31" r:id="rId53" xr:uid="{00000000-0004-0000-0300-000038000000}"/>
    <hyperlink ref="O35" r:id="rId54" xr:uid="{00000000-0004-0000-0300-000039000000}"/>
    <hyperlink ref="O39" r:id="rId55" xr:uid="{00000000-0004-0000-0300-00003A000000}"/>
    <hyperlink ref="O38" r:id="rId56" xr:uid="{00000000-0004-0000-0300-00003B000000}"/>
    <hyperlink ref="O40" r:id="rId57" xr:uid="{00000000-0004-0000-0300-00003C000000}"/>
    <hyperlink ref="O41" r:id="rId58" xr:uid="{00000000-0004-0000-0300-00003D000000}"/>
    <hyperlink ref="O43" r:id="rId59" display="http://volgafin.volgograd.ru/norms/acts/17581/" xr:uid="{00000000-0004-0000-0300-00003F000000}"/>
    <hyperlink ref="O44" r:id="rId60" xr:uid="{00000000-0004-0000-0300-000040000000}"/>
    <hyperlink ref="O45" r:id="rId61" xr:uid="{00000000-0004-0000-0300-000041000000}"/>
    <hyperlink ref="P45" r:id="rId62" xr:uid="{00000000-0004-0000-0300-000042000000}"/>
    <hyperlink ref="O49" r:id="rId63" xr:uid="{00000000-0004-0000-0300-000044000000}"/>
    <hyperlink ref="O51" r:id="rId64" xr:uid="{00000000-0004-0000-0300-000045000000}"/>
    <hyperlink ref="O55" r:id="rId65" xr:uid="{00000000-0004-0000-0300-000047000000}"/>
    <hyperlink ref="O57" r:id="rId66" xr:uid="{00000000-0004-0000-0300-000048000000}"/>
    <hyperlink ref="O58" r:id="rId67" xr:uid="{00000000-0004-0000-0300-000049000000}"/>
    <hyperlink ref="O59" r:id="rId68" xr:uid="{00000000-0004-0000-0300-00004A000000}"/>
    <hyperlink ref="O60" r:id="rId69" xr:uid="{00000000-0004-0000-0300-00004B000000}"/>
    <hyperlink ref="O61" r:id="rId70" xr:uid="{00000000-0004-0000-0300-00004C000000}"/>
    <hyperlink ref="O66" r:id="rId71" xr:uid="{00000000-0004-0000-0300-00004D000000}"/>
    <hyperlink ref="P67" r:id="rId72" xr:uid="{00000000-0004-0000-0300-00004E000000}"/>
    <hyperlink ref="P68" r:id="rId73" xr:uid="{00000000-0004-0000-0300-00004F000000}"/>
    <hyperlink ref="O70" r:id="rId74" xr:uid="{00000000-0004-0000-0300-000050000000}"/>
    <hyperlink ref="O72" r:id="rId75" xr:uid="{00000000-0004-0000-0300-000051000000}"/>
    <hyperlink ref="O74" display="https://depfin.admhmao.ru/otkrytyy-byudzhet/planirovanie-byudzheta/zakony-o-byudzhete-avtonomnogo-okruga/na-2022-god-i-na-planovyy-period-2023-i-2024-godov/6477072/zakon-khanty-mansiyskogo-avtonomnogo-okruga-yugry-ot-25-11-2021-goda-85-oz-o-byudzhete-khan" xr:uid="{00000000-0004-0000-0300-000052000000}"/>
    <hyperlink ref="O75" r:id="rId76" xr:uid="{00000000-0004-0000-0300-000053000000}"/>
    <hyperlink ref="O77" r:id="rId77" xr:uid="{00000000-0004-0000-0300-000054000000}"/>
    <hyperlink ref="O78" r:id="rId78" xr:uid="{00000000-0004-0000-0300-000055000000}"/>
    <hyperlink ref="O79" r:id="rId79" xr:uid="{00000000-0004-0000-0300-000056000000}"/>
    <hyperlink ref="O80" r:id="rId80" xr:uid="{00000000-0004-0000-0300-000057000000}"/>
    <hyperlink ref="O83" r:id="rId81" xr:uid="{00000000-0004-0000-0300-000058000000}"/>
    <hyperlink ref="O85" r:id="rId82" xr:uid="{00000000-0004-0000-0300-000059000000}"/>
    <hyperlink ref="O86" r:id="rId83" xr:uid="{00000000-0004-0000-0300-00005A000000}"/>
    <hyperlink ref="O88" r:id="rId84" xr:uid="{00000000-0004-0000-0300-00005B000000}"/>
    <hyperlink ref="O89" r:id="rId85" xr:uid="{00000000-0004-0000-0300-00005C000000}"/>
    <hyperlink ref="O91" r:id="rId86" xr:uid="{00000000-0004-0000-0300-00005D000000}"/>
    <hyperlink ref="O93" r:id="rId87" xr:uid="{00000000-0004-0000-0300-00005E000000}"/>
    <hyperlink ref="P94" r:id="rId88" xr:uid="{00000000-0004-0000-0300-00005F000000}"/>
    <hyperlink ref="P95" r:id="rId89" location="166-2022-god" xr:uid="{00000000-0004-0000-0300-000060000000}"/>
    <hyperlink ref="P96" r:id="rId90" xr:uid="{00000000-0004-0000-0300-000061000000}"/>
    <hyperlink ref="P43" r:id="rId91" display="http://portal-ob.volgafin.ru/dokumenty/zakon_o_byudzhete/2021" xr:uid="{00000000-0004-0000-0300-000062000000}"/>
    <hyperlink ref="O56" r:id="rId92" xr:uid="{00000000-0004-0000-0300-000063000000}"/>
    <hyperlink ref="P82" r:id="rId93" xr:uid="{00000000-0004-0000-0300-000064000000}"/>
    <hyperlink ref="P64" r:id="rId94" display="http://budget.orb.ru/" xr:uid="{00000000-0004-0000-0300-000065000000}"/>
    <hyperlink ref="O33" r:id="rId95" xr:uid="{00000000-0004-0000-0300-000066000000}"/>
  </hyperlinks>
  <pageMargins left="0.95866141699999996" right="0.95866141699999996" top="0.99803149599999996" bottom="1.2480314960000001" header="0.31496062992126" footer="0.31496062992126"/>
  <pageSetup paperSize="9" scale="55" fitToHeight="3" orientation="landscape" r:id="rId96"/>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C76AC05A-5A71-4847-87E7-6257962239F3}">
            <x14:dataBar minLength="0" maxLength="100" negativeBarColorSameAsPositive="1" axisPosition="none">
              <x14:cfvo type="min"/>
              <x14:cfvo type="max"/>
            </x14:dataBar>
          </x14:cfRule>
          <xm:sqref>A7:A24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U413"/>
  <sheetViews>
    <sheetView zoomScaleNormal="100" workbookViewId="0">
      <pane ySplit="6" topLeftCell="A7" activePane="bottomLeft" state="frozen"/>
      <selection pane="bottomLeft" sqref="A1:I1"/>
    </sheetView>
  </sheetViews>
  <sheetFormatPr baseColWidth="10" defaultColWidth="9.1640625" defaultRowHeight="15"/>
  <cols>
    <col min="1" max="1" width="24.83203125" style="3" customWidth="1"/>
    <col min="2" max="2" width="35.6640625" style="90" customWidth="1"/>
    <col min="3" max="3" width="10.5" style="5" customWidth="1"/>
    <col min="4" max="5" width="12.83203125" style="5" customWidth="1"/>
    <col min="6" max="6" width="12.83203125" style="3" customWidth="1"/>
    <col min="7" max="7" width="12.83203125" style="92" customWidth="1"/>
    <col min="8" max="8" width="12.83203125" style="86" customWidth="1"/>
    <col min="9" max="9" width="17.33203125" style="3" customWidth="1"/>
    <col min="10" max="10" width="9.1640625" style="78"/>
  </cols>
  <sheetData>
    <row r="1" spans="1:10" s="1" customFormat="1" ht="30" customHeight="1">
      <c r="A1" s="249" t="s">
        <v>237</v>
      </c>
      <c r="B1" s="249"/>
      <c r="C1" s="249"/>
      <c r="D1" s="249"/>
      <c r="E1" s="249"/>
      <c r="F1" s="249"/>
      <c r="G1" s="249"/>
      <c r="H1" s="249"/>
      <c r="I1" s="250"/>
      <c r="J1" s="164"/>
    </row>
    <row r="2" spans="1:10" s="1" customFormat="1" ht="16" customHeight="1">
      <c r="A2" s="251" t="s">
        <v>486</v>
      </c>
      <c r="B2" s="251"/>
      <c r="C2" s="251"/>
      <c r="D2" s="251"/>
      <c r="E2" s="251"/>
      <c r="F2" s="251"/>
      <c r="G2" s="251"/>
      <c r="H2" s="251"/>
      <c r="I2" s="252"/>
      <c r="J2" s="164"/>
    </row>
    <row r="3" spans="1:10" ht="54" customHeight="1">
      <c r="A3" s="248" t="s">
        <v>675</v>
      </c>
      <c r="B3" s="123" t="str">
        <f>'Оценка (раздел 1)'!F3</f>
        <v>1.2 Содержится ли в составе закона о бюджете приложение о прогнозируемых объемах поступлений по видам доходов на 2022 год и на плановый период 2023 и 2024 годов?</v>
      </c>
      <c r="C3" s="136" t="s">
        <v>100</v>
      </c>
      <c r="D3" s="247" t="s">
        <v>135</v>
      </c>
      <c r="E3" s="247" t="s">
        <v>119</v>
      </c>
      <c r="F3" s="247" t="s">
        <v>238</v>
      </c>
      <c r="G3" s="253"/>
      <c r="H3" s="253"/>
      <c r="I3" s="247" t="s">
        <v>132</v>
      </c>
    </row>
    <row r="4" spans="1:10" ht="20" customHeight="1">
      <c r="A4" s="247"/>
      <c r="B4" s="165" t="str">
        <f>'Методика (раздел 1)'!B14</f>
        <v>Да, содержится</v>
      </c>
      <c r="C4" s="246" t="s">
        <v>91</v>
      </c>
      <c r="D4" s="247"/>
      <c r="E4" s="247"/>
      <c r="F4" s="247" t="s">
        <v>111</v>
      </c>
      <c r="G4" s="248" t="s">
        <v>114</v>
      </c>
      <c r="H4" s="248" t="s">
        <v>136</v>
      </c>
      <c r="I4" s="247"/>
    </row>
    <row r="5" spans="1:10" ht="20" customHeight="1">
      <c r="A5" s="247"/>
      <c r="B5" s="165" t="str">
        <f>'Методика (раздел 1)'!B15</f>
        <v>Нет, не содержится или не отвечает требованиям</v>
      </c>
      <c r="C5" s="247"/>
      <c r="D5" s="247"/>
      <c r="E5" s="247"/>
      <c r="F5" s="247"/>
      <c r="G5" s="247"/>
      <c r="H5" s="247"/>
      <c r="I5" s="247"/>
    </row>
    <row r="6" spans="1:10" ht="16" customHeight="1">
      <c r="A6" s="227" t="s">
        <v>0</v>
      </c>
      <c r="B6" s="167"/>
      <c r="C6" s="166"/>
      <c r="D6" s="166"/>
      <c r="E6" s="166"/>
      <c r="F6" s="166"/>
      <c r="G6" s="93"/>
      <c r="H6" s="168"/>
      <c r="I6" s="169"/>
    </row>
    <row r="7" spans="1:10" ht="16" customHeight="1">
      <c r="A7" s="228" t="s">
        <v>1</v>
      </c>
      <c r="B7" s="54" t="s">
        <v>94</v>
      </c>
      <c r="C7" s="103">
        <f>IF(B7="Да, содержится",2,0)</f>
        <v>2</v>
      </c>
      <c r="D7" s="94" t="s">
        <v>122</v>
      </c>
      <c r="E7" s="94" t="s">
        <v>122</v>
      </c>
      <c r="F7" s="54">
        <v>130</v>
      </c>
      <c r="G7" s="53">
        <f>'1.1'!H7</f>
        <v>44546</v>
      </c>
      <c r="H7" s="51">
        <v>8</v>
      </c>
      <c r="I7" s="170" t="s">
        <v>112</v>
      </c>
    </row>
    <row r="8" spans="1:10" ht="16" customHeight="1">
      <c r="A8" s="228" t="s">
        <v>2</v>
      </c>
      <c r="B8" s="54" t="s">
        <v>94</v>
      </c>
      <c r="C8" s="103">
        <f t="shared" ref="C8:C71" si="0">IF(B8="Да, содержится",2,0)</f>
        <v>2</v>
      </c>
      <c r="D8" s="94" t="s">
        <v>122</v>
      </c>
      <c r="E8" s="94" t="s">
        <v>122</v>
      </c>
      <c r="F8" s="54" t="s">
        <v>213</v>
      </c>
      <c r="G8" s="53">
        <f>'1.1'!H8</f>
        <v>44543</v>
      </c>
      <c r="H8" s="51">
        <v>1</v>
      </c>
      <c r="I8" s="170" t="s">
        <v>112</v>
      </c>
    </row>
    <row r="9" spans="1:10" ht="16" customHeight="1">
      <c r="A9" s="228" t="s">
        <v>3</v>
      </c>
      <c r="B9" s="54" t="s">
        <v>94</v>
      </c>
      <c r="C9" s="103">
        <f t="shared" si="0"/>
        <v>2</v>
      </c>
      <c r="D9" s="94" t="s">
        <v>122</v>
      </c>
      <c r="E9" s="94" t="s">
        <v>122</v>
      </c>
      <c r="F9" s="54" t="s">
        <v>294</v>
      </c>
      <c r="G9" s="53">
        <f>'1.1'!H9</f>
        <v>44553</v>
      </c>
      <c r="H9" s="51">
        <v>1</v>
      </c>
      <c r="I9" s="170" t="s">
        <v>112</v>
      </c>
    </row>
    <row r="10" spans="1:10" ht="16" customHeight="1">
      <c r="A10" s="228" t="s">
        <v>4</v>
      </c>
      <c r="B10" s="54" t="s">
        <v>94</v>
      </c>
      <c r="C10" s="103">
        <f t="shared" si="0"/>
        <v>2</v>
      </c>
      <c r="D10" s="94" t="s">
        <v>122</v>
      </c>
      <c r="E10" s="94" t="s">
        <v>122</v>
      </c>
      <c r="F10" s="54" t="s">
        <v>295</v>
      </c>
      <c r="G10" s="53">
        <f>'1.1'!H10</f>
        <v>44544</v>
      </c>
      <c r="H10" s="51">
        <v>2</v>
      </c>
      <c r="I10" s="170" t="s">
        <v>112</v>
      </c>
    </row>
    <row r="11" spans="1:10" ht="16" customHeight="1">
      <c r="A11" s="228" t="s">
        <v>5</v>
      </c>
      <c r="B11" s="54" t="s">
        <v>94</v>
      </c>
      <c r="C11" s="103">
        <f t="shared" si="0"/>
        <v>2</v>
      </c>
      <c r="D11" s="94" t="s">
        <v>122</v>
      </c>
      <c r="E11" s="94" t="s">
        <v>122</v>
      </c>
      <c r="F11" s="54" t="s">
        <v>296</v>
      </c>
      <c r="G11" s="53">
        <f>'1.1'!H11</f>
        <v>44545</v>
      </c>
      <c r="H11" s="51">
        <v>4</v>
      </c>
      <c r="I11" s="170" t="s">
        <v>112</v>
      </c>
    </row>
    <row r="12" spans="1:10" ht="16" customHeight="1">
      <c r="A12" s="228" t="s">
        <v>6</v>
      </c>
      <c r="B12" s="54" t="s">
        <v>94</v>
      </c>
      <c r="C12" s="103">
        <f t="shared" si="0"/>
        <v>2</v>
      </c>
      <c r="D12" s="94" t="s">
        <v>122</v>
      </c>
      <c r="E12" s="94" t="s">
        <v>122</v>
      </c>
      <c r="F12" s="54" t="s">
        <v>297</v>
      </c>
      <c r="G12" s="53">
        <f>'1.1'!H12</f>
        <v>44533</v>
      </c>
      <c r="H12" s="58" t="s">
        <v>482</v>
      </c>
      <c r="I12" s="171" t="s">
        <v>112</v>
      </c>
    </row>
    <row r="13" spans="1:10" ht="16" customHeight="1">
      <c r="A13" s="228" t="s">
        <v>7</v>
      </c>
      <c r="B13" s="54" t="s">
        <v>94</v>
      </c>
      <c r="C13" s="103">
        <f t="shared" si="0"/>
        <v>2</v>
      </c>
      <c r="D13" s="94" t="s">
        <v>122</v>
      </c>
      <c r="E13" s="94" t="s">
        <v>122</v>
      </c>
      <c r="F13" s="54" t="s">
        <v>298</v>
      </c>
      <c r="G13" s="53">
        <f>'1.1'!H13</f>
        <v>44551</v>
      </c>
      <c r="H13" s="51" t="s">
        <v>147</v>
      </c>
      <c r="I13" s="170" t="s">
        <v>112</v>
      </c>
    </row>
    <row r="14" spans="1:10" ht="16" customHeight="1">
      <c r="A14" s="228" t="s">
        <v>8</v>
      </c>
      <c r="B14" s="54" t="s">
        <v>94</v>
      </c>
      <c r="C14" s="103">
        <f t="shared" si="0"/>
        <v>2</v>
      </c>
      <c r="D14" s="94" t="s">
        <v>122</v>
      </c>
      <c r="E14" s="94" t="s">
        <v>122</v>
      </c>
      <c r="F14" s="54" t="s">
        <v>299</v>
      </c>
      <c r="G14" s="53">
        <f>'1.1'!H14</f>
        <v>44537</v>
      </c>
      <c r="H14" s="51" t="s">
        <v>147</v>
      </c>
      <c r="I14" s="54" t="s">
        <v>481</v>
      </c>
      <c r="J14" s="78" t="s">
        <v>112</v>
      </c>
    </row>
    <row r="15" spans="1:10" ht="16" customHeight="1">
      <c r="A15" s="228" t="s">
        <v>9</v>
      </c>
      <c r="B15" s="54" t="s">
        <v>94</v>
      </c>
      <c r="C15" s="103">
        <f t="shared" si="0"/>
        <v>2</v>
      </c>
      <c r="D15" s="94" t="s">
        <v>122</v>
      </c>
      <c r="E15" s="94" t="s">
        <v>122</v>
      </c>
      <c r="F15" s="54" t="s">
        <v>300</v>
      </c>
      <c r="G15" s="53">
        <f>'1.1'!H15</f>
        <v>44543</v>
      </c>
      <c r="H15" s="58" t="s">
        <v>149</v>
      </c>
      <c r="I15" s="170" t="s">
        <v>112</v>
      </c>
    </row>
    <row r="16" spans="1:10" ht="16" customHeight="1">
      <c r="A16" s="228" t="s">
        <v>10</v>
      </c>
      <c r="B16" s="54" t="s">
        <v>94</v>
      </c>
      <c r="C16" s="103">
        <f t="shared" si="0"/>
        <v>2</v>
      </c>
      <c r="D16" s="94" t="s">
        <v>122</v>
      </c>
      <c r="E16" s="94" t="s">
        <v>122</v>
      </c>
      <c r="F16" s="54" t="s">
        <v>301</v>
      </c>
      <c r="G16" s="53">
        <f>'1.1'!H16</f>
        <v>44540</v>
      </c>
      <c r="H16" s="51">
        <v>4</v>
      </c>
      <c r="I16" s="170" t="s">
        <v>112</v>
      </c>
    </row>
    <row r="17" spans="1:97" ht="16" customHeight="1">
      <c r="A17" s="228" t="s">
        <v>11</v>
      </c>
      <c r="B17" s="54" t="s">
        <v>93</v>
      </c>
      <c r="C17" s="103">
        <f t="shared" si="0"/>
        <v>0</v>
      </c>
      <c r="D17" s="94" t="s">
        <v>123</v>
      </c>
      <c r="E17" s="94" t="s">
        <v>122</v>
      </c>
      <c r="F17" s="54" t="s">
        <v>302</v>
      </c>
      <c r="G17" s="53">
        <f>'1.1'!H17</f>
        <v>44525</v>
      </c>
      <c r="H17" s="51">
        <v>5</v>
      </c>
      <c r="I17" s="171" t="s">
        <v>202</v>
      </c>
      <c r="J17" s="78" t="s">
        <v>112</v>
      </c>
    </row>
    <row r="18" spans="1:97" ht="16" customHeight="1">
      <c r="A18" s="228" t="s">
        <v>12</v>
      </c>
      <c r="B18" s="54" t="s">
        <v>94</v>
      </c>
      <c r="C18" s="103">
        <f t="shared" si="0"/>
        <v>2</v>
      </c>
      <c r="D18" s="94" t="s">
        <v>122</v>
      </c>
      <c r="E18" s="94" t="s">
        <v>122</v>
      </c>
      <c r="F18" s="54" t="s">
        <v>303</v>
      </c>
      <c r="G18" s="53">
        <f>'1.1'!H18</f>
        <v>44554</v>
      </c>
      <c r="H18" s="51">
        <v>1</v>
      </c>
      <c r="I18" s="170" t="s">
        <v>112</v>
      </c>
    </row>
    <row r="19" spans="1:97" ht="16" customHeight="1">
      <c r="A19" s="228" t="s">
        <v>13</v>
      </c>
      <c r="B19" s="54" t="s">
        <v>94</v>
      </c>
      <c r="C19" s="103">
        <f t="shared" si="0"/>
        <v>2</v>
      </c>
      <c r="D19" s="94" t="s">
        <v>122</v>
      </c>
      <c r="E19" s="94" t="s">
        <v>122</v>
      </c>
      <c r="F19" s="54" t="s">
        <v>304</v>
      </c>
      <c r="G19" s="53">
        <f>'1.1'!H19</f>
        <v>44547</v>
      </c>
      <c r="H19" s="58" t="s">
        <v>305</v>
      </c>
      <c r="I19" s="54" t="s">
        <v>480</v>
      </c>
      <c r="J19" s="78" t="s">
        <v>112</v>
      </c>
    </row>
    <row r="20" spans="1:97" ht="16" customHeight="1">
      <c r="A20" s="228" t="s">
        <v>14</v>
      </c>
      <c r="B20" s="54" t="s">
        <v>94</v>
      </c>
      <c r="C20" s="103">
        <f t="shared" si="0"/>
        <v>2</v>
      </c>
      <c r="D20" s="94" t="s">
        <v>122</v>
      </c>
      <c r="E20" s="94" t="s">
        <v>122</v>
      </c>
      <c r="F20" s="54" t="s">
        <v>306</v>
      </c>
      <c r="G20" s="53">
        <f>'1.1'!H20</f>
        <v>44552</v>
      </c>
      <c r="H20" s="51">
        <v>4</v>
      </c>
      <c r="I20" s="170" t="s">
        <v>112</v>
      </c>
    </row>
    <row r="21" spans="1:97" s="33" customFormat="1" ht="16" customHeight="1">
      <c r="A21" s="228" t="s">
        <v>15</v>
      </c>
      <c r="B21" s="172" t="s">
        <v>94</v>
      </c>
      <c r="C21" s="173">
        <f t="shared" si="0"/>
        <v>2</v>
      </c>
      <c r="D21" s="174" t="s">
        <v>122</v>
      </c>
      <c r="E21" s="174" t="s">
        <v>122</v>
      </c>
      <c r="F21" s="54" t="s">
        <v>307</v>
      </c>
      <c r="G21" s="53">
        <f>'1.1'!H21</f>
        <v>44558</v>
      </c>
      <c r="H21" s="175">
        <v>5</v>
      </c>
      <c r="I21" s="170" t="s">
        <v>112</v>
      </c>
      <c r="J21" s="78"/>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2" spans="1:97" ht="16" customHeight="1">
      <c r="A22" s="228" t="s">
        <v>16</v>
      </c>
      <c r="B22" s="54" t="s">
        <v>94</v>
      </c>
      <c r="C22" s="103">
        <f t="shared" si="0"/>
        <v>2</v>
      </c>
      <c r="D22" s="94" t="s">
        <v>122</v>
      </c>
      <c r="E22" s="94" t="s">
        <v>122</v>
      </c>
      <c r="F22" s="54" t="s">
        <v>308</v>
      </c>
      <c r="G22" s="53">
        <f>'1.1'!H22</f>
        <v>44548</v>
      </c>
      <c r="H22" s="51" t="s">
        <v>146</v>
      </c>
      <c r="I22" s="170" t="s">
        <v>112</v>
      </c>
    </row>
    <row r="23" spans="1:97" ht="16" customHeight="1">
      <c r="A23" s="228" t="s">
        <v>17</v>
      </c>
      <c r="B23" s="54" t="s">
        <v>94</v>
      </c>
      <c r="C23" s="103">
        <f t="shared" si="0"/>
        <v>2</v>
      </c>
      <c r="D23" s="94" t="s">
        <v>122</v>
      </c>
      <c r="E23" s="94" t="s">
        <v>122</v>
      </c>
      <c r="F23" s="54" t="s">
        <v>309</v>
      </c>
      <c r="G23" s="53">
        <f>'1.1'!H23</f>
        <v>44545</v>
      </c>
      <c r="H23" s="51" t="s">
        <v>151</v>
      </c>
      <c r="I23" s="170" t="s">
        <v>112</v>
      </c>
    </row>
    <row r="24" spans="1:97" ht="16" customHeight="1">
      <c r="A24" s="228" t="s">
        <v>422</v>
      </c>
      <c r="B24" s="54" t="s">
        <v>93</v>
      </c>
      <c r="C24" s="103">
        <f t="shared" si="0"/>
        <v>0</v>
      </c>
      <c r="D24" s="94" t="s">
        <v>123</v>
      </c>
      <c r="E24" s="94" t="s">
        <v>123</v>
      </c>
      <c r="F24" s="54" t="s">
        <v>187</v>
      </c>
      <c r="G24" s="53">
        <f>'1.1'!H24</f>
        <v>44524</v>
      </c>
      <c r="H24" s="51" t="s">
        <v>123</v>
      </c>
      <c r="I24" s="171" t="s">
        <v>483</v>
      </c>
    </row>
    <row r="25" spans="1:97" ht="16" customHeight="1">
      <c r="A25" s="227" t="s">
        <v>18</v>
      </c>
      <c r="B25" s="100"/>
      <c r="C25" s="47"/>
      <c r="D25" s="105"/>
      <c r="E25" s="105"/>
      <c r="F25" s="105"/>
      <c r="G25" s="60"/>
      <c r="H25" s="46"/>
      <c r="I25" s="176"/>
    </row>
    <row r="26" spans="1:97" ht="16" customHeight="1">
      <c r="A26" s="228" t="s">
        <v>19</v>
      </c>
      <c r="B26" s="54" t="s">
        <v>94</v>
      </c>
      <c r="C26" s="103">
        <f t="shared" si="0"/>
        <v>2</v>
      </c>
      <c r="D26" s="94" t="s">
        <v>122</v>
      </c>
      <c r="E26" s="94" t="s">
        <v>122</v>
      </c>
      <c r="F26" s="54" t="s">
        <v>310</v>
      </c>
      <c r="G26" s="53">
        <f>'1.1'!H26</f>
        <v>44545</v>
      </c>
      <c r="H26" s="51">
        <v>2</v>
      </c>
      <c r="I26" s="170" t="s">
        <v>112</v>
      </c>
    </row>
    <row r="27" spans="1:97" ht="16" customHeight="1">
      <c r="A27" s="228" t="s">
        <v>20</v>
      </c>
      <c r="B27" s="54" t="s">
        <v>93</v>
      </c>
      <c r="C27" s="103">
        <f t="shared" si="0"/>
        <v>0</v>
      </c>
      <c r="D27" s="94" t="s">
        <v>123</v>
      </c>
      <c r="E27" s="94" t="s">
        <v>123</v>
      </c>
      <c r="F27" s="54" t="s">
        <v>311</v>
      </c>
      <c r="G27" s="53">
        <f>'1.1'!H27</f>
        <v>44537</v>
      </c>
      <c r="H27" s="51" t="s">
        <v>123</v>
      </c>
      <c r="I27" s="171" t="s">
        <v>483</v>
      </c>
    </row>
    <row r="28" spans="1:97" ht="16" customHeight="1">
      <c r="A28" s="228" t="s">
        <v>21</v>
      </c>
      <c r="B28" s="54" t="s">
        <v>94</v>
      </c>
      <c r="C28" s="103">
        <f t="shared" si="0"/>
        <v>2</v>
      </c>
      <c r="D28" s="94" t="s">
        <v>122</v>
      </c>
      <c r="E28" s="94" t="s">
        <v>122</v>
      </c>
      <c r="F28" s="54" t="s">
        <v>312</v>
      </c>
      <c r="G28" s="53">
        <f>'1.1'!H28</f>
        <v>44552</v>
      </c>
      <c r="H28" s="51">
        <v>3</v>
      </c>
      <c r="I28" s="170" t="s">
        <v>112</v>
      </c>
    </row>
    <row r="29" spans="1:97" ht="16" customHeight="1">
      <c r="A29" s="228" t="s">
        <v>22</v>
      </c>
      <c r="B29" s="54" t="s">
        <v>94</v>
      </c>
      <c r="C29" s="103">
        <f t="shared" si="0"/>
        <v>2</v>
      </c>
      <c r="D29" s="94" t="s">
        <v>122</v>
      </c>
      <c r="E29" s="94" t="s">
        <v>122</v>
      </c>
      <c r="F29" s="54" t="s">
        <v>313</v>
      </c>
      <c r="G29" s="53">
        <f>'1.1'!H29</f>
        <v>44546</v>
      </c>
      <c r="H29" s="51">
        <v>2</v>
      </c>
      <c r="I29" s="170" t="s">
        <v>112</v>
      </c>
    </row>
    <row r="30" spans="1:97" ht="16" customHeight="1">
      <c r="A30" s="228" t="s">
        <v>23</v>
      </c>
      <c r="B30" s="54" t="s">
        <v>94</v>
      </c>
      <c r="C30" s="103">
        <f t="shared" si="0"/>
        <v>2</v>
      </c>
      <c r="D30" s="94" t="s">
        <v>122</v>
      </c>
      <c r="E30" s="94" t="s">
        <v>122</v>
      </c>
      <c r="F30" s="54">
        <v>27</v>
      </c>
      <c r="G30" s="53">
        <f>'1.1'!H30</f>
        <v>44536</v>
      </c>
      <c r="H30" s="58" t="s">
        <v>150</v>
      </c>
      <c r="I30" s="170" t="s">
        <v>112</v>
      </c>
    </row>
    <row r="31" spans="1:97" ht="16" customHeight="1">
      <c r="A31" s="228" t="s">
        <v>24</v>
      </c>
      <c r="B31" s="54" t="s">
        <v>94</v>
      </c>
      <c r="C31" s="103">
        <f t="shared" si="0"/>
        <v>2</v>
      </c>
      <c r="D31" s="94" t="s">
        <v>122</v>
      </c>
      <c r="E31" s="94" t="s">
        <v>122</v>
      </c>
      <c r="F31" s="54" t="s">
        <v>314</v>
      </c>
      <c r="G31" s="53">
        <f>'1.1'!H31</f>
        <v>44551</v>
      </c>
      <c r="H31" s="51">
        <v>1</v>
      </c>
      <c r="I31" s="170" t="s">
        <v>112</v>
      </c>
    </row>
    <row r="32" spans="1:97" ht="16" customHeight="1">
      <c r="A32" s="228" t="s">
        <v>25</v>
      </c>
      <c r="B32" s="54" t="s">
        <v>94</v>
      </c>
      <c r="C32" s="103">
        <f t="shared" si="0"/>
        <v>2</v>
      </c>
      <c r="D32" s="94" t="s">
        <v>122</v>
      </c>
      <c r="E32" s="94" t="s">
        <v>122</v>
      </c>
      <c r="F32" s="54" t="s">
        <v>316</v>
      </c>
      <c r="G32" s="53">
        <f>'1.1'!H32</f>
        <v>44546</v>
      </c>
      <c r="H32" s="51" t="s">
        <v>166</v>
      </c>
      <c r="I32" s="170" t="s">
        <v>112</v>
      </c>
    </row>
    <row r="33" spans="1:99" ht="16" customHeight="1">
      <c r="A33" s="228" t="s">
        <v>26</v>
      </c>
      <c r="B33" s="54" t="s">
        <v>93</v>
      </c>
      <c r="C33" s="103">
        <f t="shared" si="0"/>
        <v>0</v>
      </c>
      <c r="D33" s="94" t="s">
        <v>123</v>
      </c>
      <c r="E33" s="94" t="s">
        <v>122</v>
      </c>
      <c r="F33" s="54" t="s">
        <v>318</v>
      </c>
      <c r="G33" s="53">
        <f>'1.1'!H33</f>
        <v>44552</v>
      </c>
      <c r="H33" s="51">
        <v>1</v>
      </c>
      <c r="I33" s="171" t="s">
        <v>202</v>
      </c>
      <c r="J33" s="78" t="s">
        <v>112</v>
      </c>
    </row>
    <row r="34" spans="1:99" ht="16" customHeight="1">
      <c r="A34" s="228" t="s">
        <v>27</v>
      </c>
      <c r="B34" s="54" t="s">
        <v>94</v>
      </c>
      <c r="C34" s="103">
        <f t="shared" si="0"/>
        <v>2</v>
      </c>
      <c r="D34" s="94" t="s">
        <v>122</v>
      </c>
      <c r="E34" s="94" t="s">
        <v>122</v>
      </c>
      <c r="F34" s="54" t="s">
        <v>319</v>
      </c>
      <c r="G34" s="53">
        <f>'1.1'!H34</f>
        <v>44559</v>
      </c>
      <c r="H34" s="51" t="s">
        <v>146</v>
      </c>
      <c r="I34" s="170" t="s">
        <v>112</v>
      </c>
    </row>
    <row r="35" spans="1:99" ht="16" customHeight="1">
      <c r="A35" s="228" t="s">
        <v>680</v>
      </c>
      <c r="B35" s="54" t="s">
        <v>94</v>
      </c>
      <c r="C35" s="103">
        <f t="shared" si="0"/>
        <v>2</v>
      </c>
      <c r="D35" s="94" t="s">
        <v>122</v>
      </c>
      <c r="E35" s="94" t="s">
        <v>122</v>
      </c>
      <c r="F35" s="54" t="s">
        <v>315</v>
      </c>
      <c r="G35" s="53">
        <f>'1.1'!H35</f>
        <v>44525</v>
      </c>
      <c r="H35" s="51">
        <v>1</v>
      </c>
      <c r="I35" s="170" t="s">
        <v>112</v>
      </c>
    </row>
    <row r="36" spans="1:99" ht="16" customHeight="1">
      <c r="A36" s="228" t="s">
        <v>28</v>
      </c>
      <c r="B36" s="54" t="s">
        <v>94</v>
      </c>
      <c r="C36" s="103">
        <f t="shared" si="0"/>
        <v>2</v>
      </c>
      <c r="D36" s="94" t="s">
        <v>122</v>
      </c>
      <c r="E36" s="94" t="s">
        <v>122</v>
      </c>
      <c r="F36" s="54" t="s">
        <v>320</v>
      </c>
      <c r="G36" s="53">
        <f>'1.1'!H36</f>
        <v>44553</v>
      </c>
      <c r="H36" s="51">
        <v>2</v>
      </c>
      <c r="I36" s="170" t="s">
        <v>112</v>
      </c>
    </row>
    <row r="37" spans="1:99" ht="16" customHeight="1">
      <c r="A37" s="227" t="s">
        <v>29</v>
      </c>
      <c r="B37" s="100"/>
      <c r="C37" s="47"/>
      <c r="D37" s="105"/>
      <c r="E37" s="105"/>
      <c r="F37" s="105"/>
      <c r="G37" s="60"/>
      <c r="H37" s="46"/>
      <c r="I37" s="176"/>
    </row>
    <row r="38" spans="1:99" ht="16" customHeight="1">
      <c r="A38" s="228" t="s">
        <v>30</v>
      </c>
      <c r="B38" s="54" t="s">
        <v>94</v>
      </c>
      <c r="C38" s="103">
        <f t="shared" si="0"/>
        <v>2</v>
      </c>
      <c r="D38" s="94" t="s">
        <v>122</v>
      </c>
      <c r="E38" s="94" t="s">
        <v>122</v>
      </c>
      <c r="F38" s="54">
        <v>22</v>
      </c>
      <c r="G38" s="53">
        <f>'1.1'!H38</f>
        <v>44540</v>
      </c>
      <c r="H38" s="51" t="s">
        <v>146</v>
      </c>
      <c r="I38" s="170" t="s">
        <v>112</v>
      </c>
    </row>
    <row r="39" spans="1:99" s="33" customFormat="1" ht="16" customHeight="1">
      <c r="A39" s="228" t="s">
        <v>31</v>
      </c>
      <c r="B39" s="172" t="s">
        <v>94</v>
      </c>
      <c r="C39" s="173">
        <f t="shared" si="0"/>
        <v>2</v>
      </c>
      <c r="D39" s="174" t="s">
        <v>122</v>
      </c>
      <c r="E39" s="174" t="s">
        <v>122</v>
      </c>
      <c r="F39" s="54" t="s">
        <v>321</v>
      </c>
      <c r="G39" s="177">
        <f>'1.1'!H39</f>
        <v>44544</v>
      </c>
      <c r="H39" s="175">
        <v>3</v>
      </c>
      <c r="I39" s="170" t="s">
        <v>112</v>
      </c>
      <c r="J39" s="78"/>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row>
    <row r="40" spans="1:99" ht="16" customHeight="1">
      <c r="A40" s="228" t="s">
        <v>89</v>
      </c>
      <c r="B40" s="54" t="s">
        <v>94</v>
      </c>
      <c r="C40" s="103">
        <f t="shared" si="0"/>
        <v>2</v>
      </c>
      <c r="D40" s="94" t="s">
        <v>122</v>
      </c>
      <c r="E40" s="94" t="s">
        <v>122</v>
      </c>
      <c r="F40" s="54" t="s">
        <v>323</v>
      </c>
      <c r="G40" s="53">
        <f>'1.1'!H40</f>
        <v>44539</v>
      </c>
      <c r="H40" s="51" t="s">
        <v>168</v>
      </c>
      <c r="I40" s="170" t="s">
        <v>112</v>
      </c>
    </row>
    <row r="41" spans="1:99" ht="16" customHeight="1">
      <c r="A41" s="228" t="s">
        <v>32</v>
      </c>
      <c r="B41" s="54" t="s">
        <v>94</v>
      </c>
      <c r="C41" s="103">
        <f t="shared" si="0"/>
        <v>2</v>
      </c>
      <c r="D41" s="94" t="s">
        <v>122</v>
      </c>
      <c r="E41" s="94" t="s">
        <v>122</v>
      </c>
      <c r="F41" s="54" t="s">
        <v>324</v>
      </c>
      <c r="G41" s="53">
        <f>'1.1'!H41</f>
        <v>44552</v>
      </c>
      <c r="H41" s="51">
        <v>2</v>
      </c>
      <c r="I41" s="170" t="s">
        <v>112</v>
      </c>
    </row>
    <row r="42" spans="1:99" ht="16" customHeight="1">
      <c r="A42" s="228" t="s">
        <v>33</v>
      </c>
      <c r="B42" s="54" t="s">
        <v>94</v>
      </c>
      <c r="C42" s="103">
        <f t="shared" si="0"/>
        <v>2</v>
      </c>
      <c r="D42" s="94" t="s">
        <v>122</v>
      </c>
      <c r="E42" s="94" t="s">
        <v>122</v>
      </c>
      <c r="F42" s="54" t="s">
        <v>325</v>
      </c>
      <c r="G42" s="53">
        <f>'1.1'!H42</f>
        <v>44547</v>
      </c>
      <c r="H42" s="51" t="s">
        <v>146</v>
      </c>
      <c r="I42" s="170" t="s">
        <v>112</v>
      </c>
    </row>
    <row r="43" spans="1:99" ht="16" customHeight="1">
      <c r="A43" s="228" t="s">
        <v>34</v>
      </c>
      <c r="B43" s="54" t="s">
        <v>94</v>
      </c>
      <c r="C43" s="103">
        <f t="shared" si="0"/>
        <v>2</v>
      </c>
      <c r="D43" s="94" t="s">
        <v>122</v>
      </c>
      <c r="E43" s="94" t="s">
        <v>122</v>
      </c>
      <c r="F43" s="54" t="s">
        <v>326</v>
      </c>
      <c r="G43" s="53">
        <f>'1.1'!H43</f>
        <v>44538</v>
      </c>
      <c r="H43" s="51">
        <v>1</v>
      </c>
      <c r="I43" s="170" t="s">
        <v>112</v>
      </c>
    </row>
    <row r="44" spans="1:99" ht="16" customHeight="1">
      <c r="A44" s="228" t="s">
        <v>35</v>
      </c>
      <c r="B44" s="54" t="s">
        <v>94</v>
      </c>
      <c r="C44" s="103">
        <f t="shared" si="0"/>
        <v>2</v>
      </c>
      <c r="D44" s="94" t="s">
        <v>122</v>
      </c>
      <c r="E44" s="94" t="s">
        <v>122</v>
      </c>
      <c r="F44" s="54" t="s">
        <v>327</v>
      </c>
      <c r="G44" s="53">
        <f>'1.1'!H44</f>
        <v>44546</v>
      </c>
      <c r="H44" s="51">
        <v>1</v>
      </c>
      <c r="I44" s="170" t="s">
        <v>112</v>
      </c>
    </row>
    <row r="45" spans="1:99" ht="16" customHeight="1">
      <c r="A45" s="228" t="s">
        <v>423</v>
      </c>
      <c r="B45" s="54" t="s">
        <v>93</v>
      </c>
      <c r="C45" s="103">
        <f t="shared" si="0"/>
        <v>0</v>
      </c>
      <c r="D45" s="94" t="s">
        <v>123</v>
      </c>
      <c r="E45" s="94" t="s">
        <v>123</v>
      </c>
      <c r="F45" s="54" t="s">
        <v>322</v>
      </c>
      <c r="G45" s="53">
        <f>'1.1'!H45</f>
        <v>44553</v>
      </c>
      <c r="H45" s="51" t="s">
        <v>123</v>
      </c>
      <c r="I45" s="171" t="s">
        <v>483</v>
      </c>
    </row>
    <row r="46" spans="1:99" ht="16" customHeight="1">
      <c r="A46" s="227" t="s">
        <v>36</v>
      </c>
      <c r="B46" s="100"/>
      <c r="C46" s="46"/>
      <c r="D46" s="106"/>
      <c r="E46" s="106"/>
      <c r="F46" s="106"/>
      <c r="G46" s="46"/>
      <c r="H46" s="46"/>
      <c r="I46" s="176"/>
    </row>
    <row r="47" spans="1:99" ht="16" customHeight="1">
      <c r="A47" s="228" t="s">
        <v>37</v>
      </c>
      <c r="B47" s="54" t="s">
        <v>94</v>
      </c>
      <c r="C47" s="103">
        <f t="shared" si="0"/>
        <v>2</v>
      </c>
      <c r="D47" s="94" t="s">
        <v>122</v>
      </c>
      <c r="E47" s="94" t="s">
        <v>122</v>
      </c>
      <c r="F47" s="54">
        <v>91</v>
      </c>
      <c r="G47" s="53">
        <f>'1.1'!H47</f>
        <v>44559</v>
      </c>
      <c r="H47" s="51" t="s">
        <v>152</v>
      </c>
      <c r="I47" s="170" t="s">
        <v>112</v>
      </c>
    </row>
    <row r="48" spans="1:99" ht="16" customHeight="1">
      <c r="A48" s="228" t="s">
        <v>38</v>
      </c>
      <c r="B48" s="54" t="s">
        <v>94</v>
      </c>
      <c r="C48" s="103">
        <f t="shared" si="0"/>
        <v>2</v>
      </c>
      <c r="D48" s="94" t="s">
        <v>122</v>
      </c>
      <c r="E48" s="94" t="s">
        <v>122</v>
      </c>
      <c r="F48" s="54" t="s">
        <v>328</v>
      </c>
      <c r="G48" s="53">
        <f>'1.1'!H48</f>
        <v>44554</v>
      </c>
      <c r="H48" s="51">
        <v>4</v>
      </c>
      <c r="I48" s="170" t="s">
        <v>112</v>
      </c>
    </row>
    <row r="49" spans="1:10" ht="16" customHeight="1">
      <c r="A49" s="228" t="s">
        <v>39</v>
      </c>
      <c r="B49" s="54" t="s">
        <v>94</v>
      </c>
      <c r="C49" s="103">
        <f t="shared" si="0"/>
        <v>2</v>
      </c>
      <c r="D49" s="94" t="s">
        <v>122</v>
      </c>
      <c r="E49" s="94" t="s">
        <v>122</v>
      </c>
      <c r="F49" s="54" t="s">
        <v>329</v>
      </c>
      <c r="G49" s="53">
        <f>'1.1'!H49</f>
        <v>44558</v>
      </c>
      <c r="H49" s="51">
        <v>5</v>
      </c>
      <c r="I49" s="170" t="s">
        <v>112</v>
      </c>
    </row>
    <row r="50" spans="1:10" ht="16" customHeight="1">
      <c r="A50" s="228" t="s">
        <v>40</v>
      </c>
      <c r="B50" s="54" t="s">
        <v>94</v>
      </c>
      <c r="C50" s="103">
        <f t="shared" si="0"/>
        <v>2</v>
      </c>
      <c r="D50" s="94" t="s">
        <v>122</v>
      </c>
      <c r="E50" s="94" t="s">
        <v>122</v>
      </c>
      <c r="F50" s="54" t="s">
        <v>330</v>
      </c>
      <c r="G50" s="53">
        <f>'1.1'!H50</f>
        <v>44558</v>
      </c>
      <c r="H50" s="51">
        <v>2</v>
      </c>
      <c r="I50" s="170" t="s">
        <v>112</v>
      </c>
    </row>
    <row r="51" spans="1:10" ht="16" customHeight="1">
      <c r="A51" s="228" t="s">
        <v>681</v>
      </c>
      <c r="B51" s="54" t="s">
        <v>93</v>
      </c>
      <c r="C51" s="103">
        <f t="shared" si="0"/>
        <v>0</v>
      </c>
      <c r="D51" s="94" t="s">
        <v>123</v>
      </c>
      <c r="E51" s="94" t="s">
        <v>122</v>
      </c>
      <c r="F51" s="54" t="s">
        <v>331</v>
      </c>
      <c r="G51" s="53">
        <f>'1.1'!H51</f>
        <v>44554</v>
      </c>
      <c r="H51" s="51">
        <v>5</v>
      </c>
      <c r="I51" s="171" t="s">
        <v>484</v>
      </c>
      <c r="J51" s="78" t="s">
        <v>112</v>
      </c>
    </row>
    <row r="52" spans="1:10" ht="16" customHeight="1">
      <c r="A52" s="228" t="s">
        <v>41</v>
      </c>
      <c r="B52" s="54" t="s">
        <v>94</v>
      </c>
      <c r="C52" s="103">
        <f t="shared" si="0"/>
        <v>2</v>
      </c>
      <c r="D52" s="94" t="s">
        <v>122</v>
      </c>
      <c r="E52" s="94" t="s">
        <v>122</v>
      </c>
      <c r="F52" s="54" t="s">
        <v>332</v>
      </c>
      <c r="G52" s="53">
        <f>'1.1'!H52</f>
        <v>44551</v>
      </c>
      <c r="H52" s="51" t="s">
        <v>146</v>
      </c>
      <c r="I52" s="170" t="s">
        <v>112</v>
      </c>
    </row>
    <row r="53" spans="1:10" ht="16" customHeight="1">
      <c r="A53" s="228" t="s">
        <v>42</v>
      </c>
      <c r="B53" s="54" t="s">
        <v>94</v>
      </c>
      <c r="C53" s="103">
        <f t="shared" si="0"/>
        <v>2</v>
      </c>
      <c r="D53" s="94" t="s">
        <v>122</v>
      </c>
      <c r="E53" s="94" t="s">
        <v>122</v>
      </c>
      <c r="F53" s="54" t="s">
        <v>333</v>
      </c>
      <c r="G53" s="53">
        <f>'1.1'!H53</f>
        <v>44537</v>
      </c>
      <c r="H53" s="51" t="s">
        <v>155</v>
      </c>
      <c r="I53" s="170" t="s">
        <v>112</v>
      </c>
    </row>
    <row r="54" spans="1:10" ht="16" customHeight="1">
      <c r="A54" s="227" t="s">
        <v>43</v>
      </c>
      <c r="B54" s="100"/>
      <c r="C54" s="47"/>
      <c r="D54" s="105"/>
      <c r="E54" s="105"/>
      <c r="F54" s="105"/>
      <c r="G54" s="60"/>
      <c r="H54" s="46"/>
      <c r="I54" s="176"/>
    </row>
    <row r="55" spans="1:10" ht="16" customHeight="1">
      <c r="A55" s="228" t="s">
        <v>44</v>
      </c>
      <c r="B55" s="54" t="s">
        <v>94</v>
      </c>
      <c r="C55" s="103">
        <f t="shared" si="0"/>
        <v>2</v>
      </c>
      <c r="D55" s="94" t="s">
        <v>122</v>
      </c>
      <c r="E55" s="94" t="s">
        <v>122</v>
      </c>
      <c r="F55" s="54" t="s">
        <v>334</v>
      </c>
      <c r="G55" s="53">
        <f>'1.1'!H55</f>
        <v>44550</v>
      </c>
      <c r="H55" s="51" t="s">
        <v>155</v>
      </c>
      <c r="I55" s="170" t="s">
        <v>112</v>
      </c>
    </row>
    <row r="56" spans="1:10" ht="16" customHeight="1">
      <c r="A56" s="228" t="s">
        <v>682</v>
      </c>
      <c r="B56" s="54" t="s">
        <v>94</v>
      </c>
      <c r="C56" s="103">
        <f t="shared" si="0"/>
        <v>2</v>
      </c>
      <c r="D56" s="94" t="s">
        <v>122</v>
      </c>
      <c r="E56" s="94" t="s">
        <v>122</v>
      </c>
      <c r="F56" s="54" t="s">
        <v>335</v>
      </c>
      <c r="G56" s="53">
        <f>'1.1'!H56</f>
        <v>44533</v>
      </c>
      <c r="H56" s="51">
        <v>5</v>
      </c>
      <c r="I56" s="170" t="s">
        <v>112</v>
      </c>
    </row>
    <row r="57" spans="1:10" ht="16" customHeight="1">
      <c r="A57" s="228" t="s">
        <v>45</v>
      </c>
      <c r="B57" s="54" t="s">
        <v>93</v>
      </c>
      <c r="C57" s="103">
        <f t="shared" si="0"/>
        <v>0</v>
      </c>
      <c r="D57" s="94" t="s">
        <v>123</v>
      </c>
      <c r="E57" s="94" t="s">
        <v>122</v>
      </c>
      <c r="F57" s="54" t="s">
        <v>336</v>
      </c>
      <c r="G57" s="53">
        <f>'1.1'!H57</f>
        <v>44557</v>
      </c>
      <c r="H57" s="178">
        <v>2</v>
      </c>
      <c r="I57" s="171" t="s">
        <v>202</v>
      </c>
      <c r="J57" s="78" t="s">
        <v>112</v>
      </c>
    </row>
    <row r="58" spans="1:10" ht="16" customHeight="1">
      <c r="A58" s="228" t="s">
        <v>46</v>
      </c>
      <c r="B58" s="54" t="s">
        <v>94</v>
      </c>
      <c r="C58" s="103">
        <f t="shared" si="0"/>
        <v>2</v>
      </c>
      <c r="D58" s="94" t="s">
        <v>122</v>
      </c>
      <c r="E58" s="94" t="s">
        <v>122</v>
      </c>
      <c r="F58" s="54" t="s">
        <v>337</v>
      </c>
      <c r="G58" s="53">
        <f>'1.1'!H58</f>
        <v>44525</v>
      </c>
      <c r="H58" s="51">
        <v>3</v>
      </c>
      <c r="I58" s="170" t="s">
        <v>112</v>
      </c>
    </row>
    <row r="59" spans="1:10" ht="16" customHeight="1">
      <c r="A59" s="228" t="s">
        <v>47</v>
      </c>
      <c r="B59" s="54" t="s">
        <v>94</v>
      </c>
      <c r="C59" s="103">
        <f t="shared" si="0"/>
        <v>2</v>
      </c>
      <c r="D59" s="94" t="s">
        <v>122</v>
      </c>
      <c r="E59" s="94" t="s">
        <v>122</v>
      </c>
      <c r="F59" s="54" t="s">
        <v>338</v>
      </c>
      <c r="G59" s="53">
        <f>'1.1'!H59</f>
        <v>44557</v>
      </c>
      <c r="H59" s="51">
        <v>1</v>
      </c>
      <c r="I59" s="170" t="s">
        <v>112</v>
      </c>
    </row>
    <row r="60" spans="1:10" ht="16" customHeight="1">
      <c r="A60" s="228" t="s">
        <v>683</v>
      </c>
      <c r="B60" s="54" t="s">
        <v>94</v>
      </c>
      <c r="C60" s="103">
        <f t="shared" si="0"/>
        <v>2</v>
      </c>
      <c r="D60" s="94" t="s">
        <v>122</v>
      </c>
      <c r="E60" s="94" t="s">
        <v>122</v>
      </c>
      <c r="F60" s="54">
        <v>86</v>
      </c>
      <c r="G60" s="53">
        <f>'1.1'!H60</f>
        <v>44525</v>
      </c>
      <c r="H60" s="51" t="s">
        <v>151</v>
      </c>
      <c r="I60" s="170" t="s">
        <v>112</v>
      </c>
    </row>
    <row r="61" spans="1:10" ht="16" customHeight="1">
      <c r="A61" s="228" t="s">
        <v>48</v>
      </c>
      <c r="B61" s="54" t="s">
        <v>93</v>
      </c>
      <c r="C61" s="103">
        <f t="shared" si="0"/>
        <v>0</v>
      </c>
      <c r="D61" s="94" t="s">
        <v>123</v>
      </c>
      <c r="E61" s="94" t="s">
        <v>122</v>
      </c>
      <c r="F61" s="54" t="s">
        <v>339</v>
      </c>
      <c r="G61" s="53">
        <f>'1.1'!H61</f>
        <v>44540</v>
      </c>
      <c r="H61" s="178">
        <v>6</v>
      </c>
      <c r="I61" s="171" t="s">
        <v>201</v>
      </c>
      <c r="J61" s="78" t="s">
        <v>112</v>
      </c>
    </row>
    <row r="62" spans="1:10" ht="16" customHeight="1">
      <c r="A62" s="228" t="s">
        <v>49</v>
      </c>
      <c r="B62" s="54" t="s">
        <v>94</v>
      </c>
      <c r="C62" s="103">
        <f t="shared" si="0"/>
        <v>2</v>
      </c>
      <c r="D62" s="94" t="s">
        <v>122</v>
      </c>
      <c r="E62" s="94" t="s">
        <v>122</v>
      </c>
      <c r="F62" s="54" t="s">
        <v>340</v>
      </c>
      <c r="G62" s="53">
        <f>'1.1'!H62</f>
        <v>44551</v>
      </c>
      <c r="H62" s="51" t="s">
        <v>155</v>
      </c>
      <c r="I62" s="170" t="s">
        <v>112</v>
      </c>
    </row>
    <row r="63" spans="1:10" ht="16" customHeight="1">
      <c r="A63" s="228" t="s">
        <v>684</v>
      </c>
      <c r="B63" s="54" t="s">
        <v>94</v>
      </c>
      <c r="C63" s="103">
        <f t="shared" si="0"/>
        <v>2</v>
      </c>
      <c r="D63" s="94" t="s">
        <v>122</v>
      </c>
      <c r="E63" s="94" t="s">
        <v>122</v>
      </c>
      <c r="F63" s="54" t="s">
        <v>341</v>
      </c>
      <c r="G63" s="53">
        <f>'1.1'!H63</f>
        <v>44553</v>
      </c>
      <c r="H63" s="51">
        <v>1</v>
      </c>
      <c r="I63" s="170" t="s">
        <v>112</v>
      </c>
    </row>
    <row r="64" spans="1:10" ht="16" customHeight="1">
      <c r="A64" s="228" t="s">
        <v>51</v>
      </c>
      <c r="B64" s="54" t="s">
        <v>94</v>
      </c>
      <c r="C64" s="103">
        <f t="shared" si="0"/>
        <v>2</v>
      </c>
      <c r="D64" s="94" t="s">
        <v>122</v>
      </c>
      <c r="E64" s="94" t="s">
        <v>122</v>
      </c>
      <c r="F64" s="54" t="s">
        <v>342</v>
      </c>
      <c r="G64" s="53">
        <f>'1.1'!H64</f>
        <v>44546</v>
      </c>
      <c r="H64" s="51">
        <v>1</v>
      </c>
      <c r="I64" s="170" t="s">
        <v>112</v>
      </c>
    </row>
    <row r="65" spans="1:10" ht="16" customHeight="1">
      <c r="A65" s="228" t="s">
        <v>52</v>
      </c>
      <c r="B65" s="54" t="s">
        <v>94</v>
      </c>
      <c r="C65" s="103">
        <f t="shared" si="0"/>
        <v>2</v>
      </c>
      <c r="D65" s="94" t="s">
        <v>122</v>
      </c>
      <c r="E65" s="94" t="s">
        <v>122</v>
      </c>
      <c r="F65" s="54" t="s">
        <v>343</v>
      </c>
      <c r="G65" s="53">
        <f>'1.1'!H65</f>
        <v>44550</v>
      </c>
      <c r="H65" s="51" t="s">
        <v>147</v>
      </c>
      <c r="I65" s="170" t="s">
        <v>112</v>
      </c>
    </row>
    <row r="66" spans="1:10" ht="16" customHeight="1">
      <c r="A66" s="228" t="s">
        <v>53</v>
      </c>
      <c r="B66" s="54" t="s">
        <v>93</v>
      </c>
      <c r="C66" s="103">
        <f t="shared" si="0"/>
        <v>0</v>
      </c>
      <c r="D66" s="94" t="s">
        <v>123</v>
      </c>
      <c r="E66" s="94" t="s">
        <v>123</v>
      </c>
      <c r="F66" s="54" t="s">
        <v>344</v>
      </c>
      <c r="G66" s="53">
        <f>'1.1'!H66</f>
        <v>44531</v>
      </c>
      <c r="H66" s="51" t="s">
        <v>123</v>
      </c>
      <c r="I66" s="171" t="s">
        <v>483</v>
      </c>
    </row>
    <row r="67" spans="1:10" ht="16" customHeight="1">
      <c r="A67" s="228" t="s">
        <v>54</v>
      </c>
      <c r="B67" s="54" t="s">
        <v>94</v>
      </c>
      <c r="C67" s="103">
        <f t="shared" si="0"/>
        <v>2</v>
      </c>
      <c r="D67" s="94" t="s">
        <v>122</v>
      </c>
      <c r="E67" s="94" t="s">
        <v>122</v>
      </c>
      <c r="F67" s="54" t="s">
        <v>345</v>
      </c>
      <c r="G67" s="53">
        <f>'1.1'!H67</f>
        <v>44532</v>
      </c>
      <c r="H67" s="51">
        <v>1</v>
      </c>
      <c r="I67" s="170" t="s">
        <v>112</v>
      </c>
    </row>
    <row r="68" spans="1:10" ht="16" customHeight="1">
      <c r="A68" s="228" t="s">
        <v>55</v>
      </c>
      <c r="B68" s="54" t="s">
        <v>93</v>
      </c>
      <c r="C68" s="103">
        <f t="shared" si="0"/>
        <v>0</v>
      </c>
      <c r="D68" s="94" t="s">
        <v>123</v>
      </c>
      <c r="E68" s="94" t="s">
        <v>123</v>
      </c>
      <c r="F68" s="54" t="s">
        <v>346</v>
      </c>
      <c r="G68" s="53">
        <f>'1.1'!H68</f>
        <v>44538</v>
      </c>
      <c r="H68" s="51" t="s">
        <v>123</v>
      </c>
      <c r="I68" s="171" t="s">
        <v>483</v>
      </c>
    </row>
    <row r="69" spans="1:10" ht="16" customHeight="1">
      <c r="A69" s="227" t="s">
        <v>56</v>
      </c>
      <c r="B69" s="100"/>
      <c r="C69" s="47"/>
      <c r="D69" s="105"/>
      <c r="E69" s="105"/>
      <c r="F69" s="105"/>
      <c r="G69" s="60"/>
      <c r="H69" s="46"/>
      <c r="I69" s="176"/>
    </row>
    <row r="70" spans="1:10" ht="16" customHeight="1">
      <c r="A70" s="228" t="s">
        <v>57</v>
      </c>
      <c r="B70" s="54" t="s">
        <v>93</v>
      </c>
      <c r="C70" s="103">
        <f t="shared" si="0"/>
        <v>0</v>
      </c>
      <c r="D70" s="94" t="s">
        <v>123</v>
      </c>
      <c r="E70" s="94" t="s">
        <v>122</v>
      </c>
      <c r="F70" s="54">
        <v>165</v>
      </c>
      <c r="G70" s="53">
        <f>'1.1'!H70</f>
        <v>44559</v>
      </c>
      <c r="H70" s="51" t="s">
        <v>485</v>
      </c>
      <c r="I70" s="171" t="s">
        <v>201</v>
      </c>
      <c r="J70" s="78" t="s">
        <v>112</v>
      </c>
    </row>
    <row r="71" spans="1:10" ht="16" customHeight="1">
      <c r="A71" s="228" t="s">
        <v>58</v>
      </c>
      <c r="B71" s="54" t="s">
        <v>94</v>
      </c>
      <c r="C71" s="103">
        <f t="shared" si="0"/>
        <v>2</v>
      </c>
      <c r="D71" s="94" t="s">
        <v>122</v>
      </c>
      <c r="E71" s="94" t="s">
        <v>122</v>
      </c>
      <c r="F71" s="54" t="s">
        <v>347</v>
      </c>
      <c r="G71" s="53">
        <f>'1.1'!H71</f>
        <v>44538</v>
      </c>
      <c r="H71" s="51">
        <v>4</v>
      </c>
      <c r="I71" s="170" t="s">
        <v>112</v>
      </c>
    </row>
    <row r="72" spans="1:10" ht="16" customHeight="1">
      <c r="A72" s="228" t="s">
        <v>59</v>
      </c>
      <c r="B72" s="54" t="s">
        <v>94</v>
      </c>
      <c r="C72" s="103">
        <f t="shared" ref="C72:C77" si="1">IF(B72="Да, содержится",2,0)</f>
        <v>2</v>
      </c>
      <c r="D72" s="94" t="s">
        <v>122</v>
      </c>
      <c r="E72" s="94" t="s">
        <v>122</v>
      </c>
      <c r="F72" s="54">
        <v>94</v>
      </c>
      <c r="G72" s="53">
        <f>'1.1'!H72</f>
        <v>44532</v>
      </c>
      <c r="H72" s="51" t="s">
        <v>149</v>
      </c>
      <c r="I72" s="170" t="s">
        <v>112</v>
      </c>
    </row>
    <row r="73" spans="1:10" ht="16" customHeight="1">
      <c r="A73" s="228" t="s">
        <v>60</v>
      </c>
      <c r="B73" s="54" t="s">
        <v>94</v>
      </c>
      <c r="C73" s="103">
        <f t="shared" si="1"/>
        <v>2</v>
      </c>
      <c r="D73" s="94" t="s">
        <v>122</v>
      </c>
      <c r="E73" s="94" t="s">
        <v>122</v>
      </c>
      <c r="F73" s="54" t="s">
        <v>348</v>
      </c>
      <c r="G73" s="53">
        <f>'1.1'!H73</f>
        <v>44553</v>
      </c>
      <c r="H73" s="51" t="s">
        <v>147</v>
      </c>
      <c r="I73" s="170" t="s">
        <v>112</v>
      </c>
    </row>
    <row r="74" spans="1:10" ht="16" customHeight="1">
      <c r="A74" s="228" t="s">
        <v>685</v>
      </c>
      <c r="B74" s="54" t="s">
        <v>94</v>
      </c>
      <c r="C74" s="103">
        <f t="shared" si="1"/>
        <v>2</v>
      </c>
      <c r="D74" s="94" t="s">
        <v>122</v>
      </c>
      <c r="E74" s="94" t="s">
        <v>122</v>
      </c>
      <c r="F74" s="54" t="s">
        <v>349</v>
      </c>
      <c r="G74" s="53">
        <f>'1.1'!H74</f>
        <v>44525</v>
      </c>
      <c r="H74" s="51" t="s">
        <v>146</v>
      </c>
      <c r="I74" s="170" t="s">
        <v>112</v>
      </c>
    </row>
    <row r="75" spans="1:10" ht="16" customHeight="1">
      <c r="A75" s="228" t="s">
        <v>61</v>
      </c>
      <c r="B75" s="54" t="s">
        <v>94</v>
      </c>
      <c r="C75" s="103">
        <f t="shared" si="1"/>
        <v>2</v>
      </c>
      <c r="D75" s="94" t="s">
        <v>122</v>
      </c>
      <c r="E75" s="94" t="s">
        <v>122</v>
      </c>
      <c r="F75" s="54" t="s">
        <v>350</v>
      </c>
      <c r="G75" s="53">
        <f>'1.1'!H75</f>
        <v>44525</v>
      </c>
      <c r="H75" s="51" t="s">
        <v>146</v>
      </c>
      <c r="I75" s="170" t="s">
        <v>112</v>
      </c>
    </row>
    <row r="76" spans="1:10" ht="16" customHeight="1">
      <c r="A76" s="227" t="s">
        <v>62</v>
      </c>
      <c r="B76" s="100"/>
      <c r="C76" s="47"/>
      <c r="D76" s="105"/>
      <c r="E76" s="105"/>
      <c r="F76" s="105"/>
      <c r="G76" s="60"/>
      <c r="H76" s="46"/>
      <c r="I76" s="176"/>
    </row>
    <row r="77" spans="1:10" ht="16" customHeight="1">
      <c r="A77" s="228" t="s">
        <v>63</v>
      </c>
      <c r="B77" s="54" t="s">
        <v>94</v>
      </c>
      <c r="C77" s="103">
        <f t="shared" si="1"/>
        <v>2</v>
      </c>
      <c r="D77" s="94" t="s">
        <v>122</v>
      </c>
      <c r="E77" s="94" t="s">
        <v>122</v>
      </c>
      <c r="F77" s="54" t="s">
        <v>351</v>
      </c>
      <c r="G77" s="53">
        <f>'1.1'!H77</f>
        <v>44547</v>
      </c>
      <c r="H77" s="51">
        <v>1</v>
      </c>
      <c r="I77" s="170" t="s">
        <v>112</v>
      </c>
    </row>
    <row r="78" spans="1:10" ht="16" customHeight="1">
      <c r="A78" s="228" t="s">
        <v>65</v>
      </c>
      <c r="B78" s="54" t="s">
        <v>94</v>
      </c>
      <c r="C78" s="103">
        <f t="shared" ref="C78:C86" si="2">IF(B78="Да, содержится",2,0)</f>
        <v>2</v>
      </c>
      <c r="D78" s="94" t="s">
        <v>122</v>
      </c>
      <c r="E78" s="94" t="s">
        <v>122</v>
      </c>
      <c r="F78" s="54" t="s">
        <v>352</v>
      </c>
      <c r="G78" s="53">
        <f>'1.1'!H78</f>
        <v>44543</v>
      </c>
      <c r="H78" s="178" t="s">
        <v>148</v>
      </c>
      <c r="I78" s="170" t="s">
        <v>112</v>
      </c>
    </row>
    <row r="79" spans="1:10" ht="16" customHeight="1">
      <c r="A79" s="228" t="s">
        <v>66</v>
      </c>
      <c r="B79" s="54" t="s">
        <v>94</v>
      </c>
      <c r="C79" s="103">
        <f t="shared" si="2"/>
        <v>2</v>
      </c>
      <c r="D79" s="94" t="s">
        <v>122</v>
      </c>
      <c r="E79" s="94" t="s">
        <v>122</v>
      </c>
      <c r="F79" s="54" t="s">
        <v>353</v>
      </c>
      <c r="G79" s="53">
        <f>'1.1'!H79</f>
        <v>44547</v>
      </c>
      <c r="H79" s="51" t="s">
        <v>151</v>
      </c>
      <c r="I79" s="170" t="s">
        <v>112</v>
      </c>
    </row>
    <row r="80" spans="1:10" ht="16" customHeight="1">
      <c r="A80" s="228" t="s">
        <v>67</v>
      </c>
      <c r="B80" s="54" t="s">
        <v>93</v>
      </c>
      <c r="C80" s="103">
        <f t="shared" si="2"/>
        <v>0</v>
      </c>
      <c r="D80" s="94" t="s">
        <v>123</v>
      </c>
      <c r="E80" s="94" t="s">
        <v>123</v>
      </c>
      <c r="F80" s="54" t="s">
        <v>354</v>
      </c>
      <c r="G80" s="53">
        <f>'1.1'!H80</f>
        <v>44530</v>
      </c>
      <c r="H80" s="178" t="s">
        <v>123</v>
      </c>
      <c r="I80" s="171" t="s">
        <v>483</v>
      </c>
    </row>
    <row r="81" spans="1:10" ht="16" customHeight="1">
      <c r="A81" s="228" t="s">
        <v>69</v>
      </c>
      <c r="B81" s="54" t="s">
        <v>94</v>
      </c>
      <c r="C81" s="103">
        <f t="shared" si="2"/>
        <v>2</v>
      </c>
      <c r="D81" s="94" t="s">
        <v>122</v>
      </c>
      <c r="E81" s="94" t="s">
        <v>122</v>
      </c>
      <c r="F81" s="63" t="s">
        <v>355</v>
      </c>
      <c r="G81" s="53">
        <f>'1.1'!H81</f>
        <v>44919</v>
      </c>
      <c r="H81" s="51">
        <v>2</v>
      </c>
      <c r="I81" s="170" t="s">
        <v>112</v>
      </c>
    </row>
    <row r="82" spans="1:10" ht="16" customHeight="1">
      <c r="A82" s="228" t="s">
        <v>70</v>
      </c>
      <c r="B82" s="54" t="s">
        <v>94</v>
      </c>
      <c r="C82" s="103">
        <f t="shared" si="2"/>
        <v>2</v>
      </c>
      <c r="D82" s="94" t="s">
        <v>122</v>
      </c>
      <c r="E82" s="94" t="s">
        <v>122</v>
      </c>
      <c r="F82" s="54" t="s">
        <v>356</v>
      </c>
      <c r="G82" s="53">
        <f>'1.1'!H82</f>
        <v>44546</v>
      </c>
      <c r="H82" s="51" t="s">
        <v>151</v>
      </c>
      <c r="I82" s="170" t="s">
        <v>112</v>
      </c>
    </row>
    <row r="83" spans="1:10" ht="16" customHeight="1">
      <c r="A83" s="228" t="s">
        <v>686</v>
      </c>
      <c r="B83" s="54" t="s">
        <v>94</v>
      </c>
      <c r="C83" s="103">
        <f t="shared" si="2"/>
        <v>2</v>
      </c>
      <c r="D83" s="94" t="s">
        <v>122</v>
      </c>
      <c r="E83" s="94" t="s">
        <v>122</v>
      </c>
      <c r="F83" s="54" t="s">
        <v>357</v>
      </c>
      <c r="G83" s="53">
        <f>'1.1'!H83</f>
        <v>44545</v>
      </c>
      <c r="H83" s="178">
        <v>5</v>
      </c>
      <c r="I83" s="170" t="s">
        <v>112</v>
      </c>
    </row>
    <row r="84" spans="1:10" ht="16" customHeight="1">
      <c r="A84" s="228" t="s">
        <v>71</v>
      </c>
      <c r="B84" s="54" t="s">
        <v>93</v>
      </c>
      <c r="C84" s="103">
        <f t="shared" si="2"/>
        <v>0</v>
      </c>
      <c r="D84" s="94" t="s">
        <v>123</v>
      </c>
      <c r="E84" s="94" t="s">
        <v>123</v>
      </c>
      <c r="F84" s="54" t="s">
        <v>358</v>
      </c>
      <c r="G84" s="53">
        <f>'1.1'!H84</f>
        <v>44553</v>
      </c>
      <c r="H84" s="178" t="s">
        <v>123</v>
      </c>
      <c r="I84" s="171" t="s">
        <v>483</v>
      </c>
    </row>
    <row r="85" spans="1:10" ht="16" customHeight="1">
      <c r="A85" s="228" t="s">
        <v>72</v>
      </c>
      <c r="B85" s="54" t="s">
        <v>94</v>
      </c>
      <c r="C85" s="103">
        <f t="shared" si="2"/>
        <v>2</v>
      </c>
      <c r="D85" s="94" t="s">
        <v>122</v>
      </c>
      <c r="E85" s="94" t="s">
        <v>122</v>
      </c>
      <c r="F85" s="54" t="s">
        <v>359</v>
      </c>
      <c r="G85" s="53">
        <f>'1.1'!H85</f>
        <v>44546</v>
      </c>
      <c r="H85" s="51" t="s">
        <v>151</v>
      </c>
      <c r="I85" s="170" t="s">
        <v>112</v>
      </c>
    </row>
    <row r="86" spans="1:10" ht="16" customHeight="1">
      <c r="A86" s="228" t="s">
        <v>73</v>
      </c>
      <c r="B86" s="54" t="s">
        <v>93</v>
      </c>
      <c r="C86" s="103">
        <f t="shared" si="2"/>
        <v>0</v>
      </c>
      <c r="D86" s="94" t="s">
        <v>123</v>
      </c>
      <c r="E86" s="94" t="s">
        <v>122</v>
      </c>
      <c r="F86" s="54" t="s">
        <v>360</v>
      </c>
      <c r="G86" s="53">
        <f>'1.1'!H86</f>
        <v>44559</v>
      </c>
      <c r="H86" s="178">
        <v>4</v>
      </c>
      <c r="I86" s="171" t="s">
        <v>201</v>
      </c>
      <c r="J86" s="78" t="s">
        <v>112</v>
      </c>
    </row>
    <row r="87" spans="1:10" ht="16" customHeight="1">
      <c r="A87" s="227" t="s">
        <v>74</v>
      </c>
      <c r="B87" s="100"/>
      <c r="C87" s="47"/>
      <c r="D87" s="105"/>
      <c r="E87" s="105"/>
      <c r="F87" s="105"/>
      <c r="G87" s="60"/>
      <c r="H87" s="46"/>
      <c r="I87" s="176"/>
    </row>
    <row r="88" spans="1:10" ht="16" customHeight="1">
      <c r="A88" s="228" t="s">
        <v>64</v>
      </c>
      <c r="B88" s="54" t="s">
        <v>94</v>
      </c>
      <c r="C88" s="103">
        <f t="shared" ref="C88:C98" si="3">IF(B88="Да, содержится",2,0)</f>
        <v>2</v>
      </c>
      <c r="D88" s="94" t="s">
        <v>122</v>
      </c>
      <c r="E88" s="94" t="s">
        <v>122</v>
      </c>
      <c r="F88" s="54" t="s">
        <v>361</v>
      </c>
      <c r="G88" s="53">
        <f>'1.1'!H88</f>
        <v>44553</v>
      </c>
      <c r="H88" s="58" t="s">
        <v>362</v>
      </c>
      <c r="I88" s="170" t="s">
        <v>112</v>
      </c>
    </row>
    <row r="89" spans="1:10" ht="16" customHeight="1">
      <c r="A89" s="228" t="s">
        <v>75</v>
      </c>
      <c r="B89" s="54" t="s">
        <v>94</v>
      </c>
      <c r="C89" s="103">
        <f t="shared" si="3"/>
        <v>2</v>
      </c>
      <c r="D89" s="94" t="s">
        <v>122</v>
      </c>
      <c r="E89" s="94" t="s">
        <v>122</v>
      </c>
      <c r="F89" s="54" t="s">
        <v>363</v>
      </c>
      <c r="G89" s="53">
        <f>'1.1'!H89</f>
        <v>44530</v>
      </c>
      <c r="H89" s="51">
        <v>1</v>
      </c>
      <c r="I89" s="170" t="s">
        <v>112</v>
      </c>
    </row>
    <row r="90" spans="1:10" ht="16" customHeight="1">
      <c r="A90" s="228" t="s">
        <v>68</v>
      </c>
      <c r="B90" s="54" t="s">
        <v>93</v>
      </c>
      <c r="C90" s="103">
        <f t="shared" si="3"/>
        <v>0</v>
      </c>
      <c r="D90" s="94" t="s">
        <v>123</v>
      </c>
      <c r="E90" s="94" t="s">
        <v>123</v>
      </c>
      <c r="F90" s="54" t="s">
        <v>364</v>
      </c>
      <c r="G90" s="53">
        <f>'1.1'!H90</f>
        <v>44560</v>
      </c>
      <c r="H90" s="178" t="s">
        <v>123</v>
      </c>
      <c r="I90" s="171" t="s">
        <v>483</v>
      </c>
    </row>
    <row r="91" spans="1:10" ht="16" customHeight="1">
      <c r="A91" s="228" t="s">
        <v>76</v>
      </c>
      <c r="B91" s="54" t="s">
        <v>94</v>
      </c>
      <c r="C91" s="103">
        <f t="shared" si="3"/>
        <v>2</v>
      </c>
      <c r="D91" s="94" t="s">
        <v>122</v>
      </c>
      <c r="E91" s="94" t="s">
        <v>122</v>
      </c>
      <c r="F91" s="54">
        <v>5</v>
      </c>
      <c r="G91" s="53">
        <f>'1.1'!H91</f>
        <v>44526</v>
      </c>
      <c r="H91" s="51" t="s">
        <v>365</v>
      </c>
      <c r="I91" s="170" t="s">
        <v>112</v>
      </c>
    </row>
    <row r="92" spans="1:10" ht="16" customHeight="1">
      <c r="A92" s="228" t="s">
        <v>77</v>
      </c>
      <c r="B92" s="54" t="s">
        <v>94</v>
      </c>
      <c r="C92" s="103">
        <f t="shared" si="3"/>
        <v>2</v>
      </c>
      <c r="D92" s="94" t="s">
        <v>122</v>
      </c>
      <c r="E92" s="94" t="s">
        <v>122</v>
      </c>
      <c r="F92" s="54" t="s">
        <v>366</v>
      </c>
      <c r="G92" s="53">
        <f>'1.1'!H92</f>
        <v>44551</v>
      </c>
      <c r="H92" s="51">
        <v>5</v>
      </c>
      <c r="I92" s="170" t="s">
        <v>112</v>
      </c>
    </row>
    <row r="93" spans="1:10" ht="16" customHeight="1">
      <c r="A93" s="228" t="s">
        <v>78</v>
      </c>
      <c r="B93" s="54" t="s">
        <v>94</v>
      </c>
      <c r="C93" s="103">
        <f t="shared" si="3"/>
        <v>2</v>
      </c>
      <c r="D93" s="94" t="s">
        <v>122</v>
      </c>
      <c r="E93" s="94" t="s">
        <v>122</v>
      </c>
      <c r="F93" s="54">
        <v>247</v>
      </c>
      <c r="G93" s="53">
        <f>'1.1'!H93</f>
        <v>44510</v>
      </c>
      <c r="H93" s="51" t="s">
        <v>147</v>
      </c>
      <c r="I93" s="170" t="s">
        <v>112</v>
      </c>
    </row>
    <row r="94" spans="1:10" ht="16" customHeight="1">
      <c r="A94" s="228" t="s">
        <v>79</v>
      </c>
      <c r="B94" s="54" t="s">
        <v>94</v>
      </c>
      <c r="C94" s="103">
        <f t="shared" si="3"/>
        <v>2</v>
      </c>
      <c r="D94" s="94" t="s">
        <v>122</v>
      </c>
      <c r="E94" s="94" t="s">
        <v>122</v>
      </c>
      <c r="F94" s="54" t="s">
        <v>318</v>
      </c>
      <c r="G94" s="53">
        <f>'1.1'!H94</f>
        <v>44539</v>
      </c>
      <c r="H94" s="51" t="s">
        <v>146</v>
      </c>
      <c r="I94" s="170" t="s">
        <v>112</v>
      </c>
    </row>
    <row r="95" spans="1:10" ht="16" customHeight="1">
      <c r="A95" s="228" t="s">
        <v>80</v>
      </c>
      <c r="B95" s="54" t="s">
        <v>94</v>
      </c>
      <c r="C95" s="103">
        <f t="shared" si="3"/>
        <v>2</v>
      </c>
      <c r="D95" s="94" t="s">
        <v>122</v>
      </c>
      <c r="E95" s="94" t="s">
        <v>122</v>
      </c>
      <c r="F95" s="54" t="s">
        <v>367</v>
      </c>
      <c r="G95" s="53">
        <f>'1.1'!H95</f>
        <v>44533</v>
      </c>
      <c r="H95" s="51">
        <v>1</v>
      </c>
      <c r="I95" s="170" t="s">
        <v>112</v>
      </c>
    </row>
    <row r="96" spans="1:10" ht="16" customHeight="1">
      <c r="A96" s="228" t="s">
        <v>81</v>
      </c>
      <c r="B96" s="54" t="s">
        <v>94</v>
      </c>
      <c r="C96" s="103">
        <f t="shared" si="3"/>
        <v>2</v>
      </c>
      <c r="D96" s="94" t="s">
        <v>122</v>
      </c>
      <c r="E96" s="94" t="s">
        <v>122</v>
      </c>
      <c r="F96" s="54" t="s">
        <v>368</v>
      </c>
      <c r="G96" s="53">
        <f>'1.1'!H96</f>
        <v>44552</v>
      </c>
      <c r="H96" s="51">
        <v>1</v>
      </c>
      <c r="I96" s="170" t="s">
        <v>112</v>
      </c>
    </row>
    <row r="97" spans="1:10" ht="16" customHeight="1">
      <c r="A97" s="228" t="s">
        <v>82</v>
      </c>
      <c r="B97" s="54" t="s">
        <v>94</v>
      </c>
      <c r="C97" s="103">
        <f t="shared" si="3"/>
        <v>2</v>
      </c>
      <c r="D97" s="94" t="s">
        <v>122</v>
      </c>
      <c r="E97" s="94" t="s">
        <v>122</v>
      </c>
      <c r="F97" s="54" t="s">
        <v>369</v>
      </c>
      <c r="G97" s="53">
        <f>'1.1'!H97</f>
        <v>44544</v>
      </c>
      <c r="H97" s="51" t="s">
        <v>148</v>
      </c>
      <c r="I97" s="170" t="s">
        <v>112</v>
      </c>
    </row>
    <row r="98" spans="1:10" ht="16" customHeight="1">
      <c r="A98" s="228" t="s">
        <v>83</v>
      </c>
      <c r="B98" s="54" t="s">
        <v>94</v>
      </c>
      <c r="C98" s="103">
        <f t="shared" si="3"/>
        <v>2</v>
      </c>
      <c r="D98" s="94" t="s">
        <v>122</v>
      </c>
      <c r="E98" s="94" t="s">
        <v>122</v>
      </c>
      <c r="F98" s="54" t="s">
        <v>370</v>
      </c>
      <c r="G98" s="53">
        <f>'1.1'!H98</f>
        <v>44531</v>
      </c>
      <c r="H98" s="51" t="s">
        <v>147</v>
      </c>
      <c r="I98" s="170" t="s">
        <v>112</v>
      </c>
    </row>
    <row r="99" spans="1:10">
      <c r="G99" s="89"/>
      <c r="I99"/>
    </row>
    <row r="100" spans="1:10">
      <c r="G100" s="89"/>
      <c r="I100"/>
    </row>
    <row r="101" spans="1:10">
      <c r="G101" s="89"/>
      <c r="I101"/>
    </row>
    <row r="102" spans="1:10">
      <c r="G102" s="89"/>
      <c r="I102"/>
    </row>
    <row r="103" spans="1:10">
      <c r="G103" s="89"/>
      <c r="I103"/>
    </row>
    <row r="104" spans="1:10">
      <c r="A104" s="4"/>
      <c r="B104" s="91"/>
      <c r="C104" s="6"/>
      <c r="D104" s="6"/>
      <c r="E104" s="6"/>
      <c r="G104" s="89"/>
      <c r="H104" s="89"/>
      <c r="I104"/>
    </row>
    <row r="105" spans="1:10">
      <c r="G105" s="89"/>
      <c r="I105"/>
    </row>
    <row r="106" spans="1:10">
      <c r="G106" s="89"/>
      <c r="I106"/>
    </row>
    <row r="107" spans="1:10">
      <c r="G107" s="89"/>
      <c r="I107"/>
    </row>
    <row r="108" spans="1:10" s="2" customFormat="1" ht="11">
      <c r="A108" s="4"/>
      <c r="B108" s="91"/>
      <c r="C108" s="6"/>
      <c r="D108" s="6"/>
      <c r="E108" s="6"/>
      <c r="F108" s="3"/>
      <c r="G108" s="89"/>
      <c r="H108" s="89"/>
      <c r="J108" s="179"/>
    </row>
    <row r="109" spans="1:10">
      <c r="G109" s="89"/>
      <c r="I109"/>
    </row>
    <row r="110" spans="1:10">
      <c r="G110" s="89"/>
      <c r="I110"/>
    </row>
    <row r="111" spans="1:10" s="2" customFormat="1" ht="11">
      <c r="A111" s="4"/>
      <c r="B111" s="91"/>
      <c r="C111" s="6"/>
      <c r="D111" s="6"/>
      <c r="E111" s="6"/>
      <c r="F111" s="3"/>
      <c r="G111" s="89"/>
      <c r="H111" s="89"/>
      <c r="J111" s="179"/>
    </row>
    <row r="112" spans="1:10">
      <c r="G112" s="89"/>
      <c r="I112"/>
    </row>
    <row r="113" spans="1:10">
      <c r="G113" s="89"/>
      <c r="I113"/>
    </row>
    <row r="114" spans="1:10">
      <c r="G114" s="89"/>
      <c r="I114"/>
    </row>
    <row r="115" spans="1:10" s="2" customFormat="1" ht="11">
      <c r="A115" s="4"/>
      <c r="B115" s="91"/>
      <c r="C115" s="6"/>
      <c r="D115" s="6"/>
      <c r="E115" s="6"/>
      <c r="F115" s="3"/>
      <c r="G115" s="89"/>
      <c r="H115" s="89"/>
      <c r="J115" s="179"/>
    </row>
    <row r="116" spans="1:10">
      <c r="G116" s="89"/>
      <c r="I116"/>
    </row>
    <row r="117" spans="1:10">
      <c r="G117" s="89"/>
      <c r="I117"/>
    </row>
    <row r="118" spans="1:10" s="2" customFormat="1" ht="11">
      <c r="A118" s="4"/>
      <c r="B118" s="91"/>
      <c r="C118" s="6"/>
      <c r="D118" s="6"/>
      <c r="E118" s="6"/>
      <c r="F118" s="3"/>
      <c r="G118" s="89"/>
      <c r="H118" s="89"/>
      <c r="J118" s="179"/>
    </row>
    <row r="119" spans="1:10">
      <c r="G119" s="89"/>
      <c r="I119"/>
    </row>
    <row r="120" spans="1:10">
      <c r="G120" s="89"/>
      <c r="I120"/>
    </row>
    <row r="121" spans="1:10">
      <c r="G121" s="89"/>
      <c r="I121"/>
    </row>
    <row r="122" spans="1:10" s="2" customFormat="1" ht="11">
      <c r="A122" s="4"/>
      <c r="B122" s="91"/>
      <c r="C122" s="6"/>
      <c r="D122" s="6"/>
      <c r="E122" s="6"/>
      <c r="F122" s="3"/>
      <c r="G122" s="89"/>
      <c r="H122" s="89"/>
      <c r="J122" s="179"/>
    </row>
    <row r="123" spans="1:10">
      <c r="G123" s="89"/>
      <c r="I123"/>
    </row>
    <row r="124" spans="1:10">
      <c r="G124" s="89"/>
      <c r="I124"/>
    </row>
    <row r="125" spans="1:10">
      <c r="G125" s="89"/>
      <c r="I125"/>
    </row>
    <row r="126" spans="1:10">
      <c r="G126" s="89"/>
      <c r="I126"/>
    </row>
    <row r="127" spans="1:10">
      <c r="G127" s="89"/>
      <c r="I127"/>
    </row>
    <row r="128" spans="1:10">
      <c r="G128" s="89"/>
      <c r="I128"/>
    </row>
    <row r="129" spans="7:9">
      <c r="G129" s="89"/>
      <c r="I129"/>
    </row>
    <row r="130" spans="7:9">
      <c r="G130" s="89"/>
      <c r="I130"/>
    </row>
    <row r="131" spans="7:9">
      <c r="G131" s="89"/>
      <c r="I131"/>
    </row>
    <row r="132" spans="7:9">
      <c r="G132" s="89"/>
      <c r="I132"/>
    </row>
    <row r="133" spans="7:9">
      <c r="G133" s="89"/>
      <c r="I133"/>
    </row>
    <row r="134" spans="7:9">
      <c r="G134" s="89"/>
      <c r="I134"/>
    </row>
    <row r="135" spans="7:9">
      <c r="G135" s="89"/>
      <c r="I135"/>
    </row>
    <row r="136" spans="7:9">
      <c r="G136" s="89"/>
      <c r="I136"/>
    </row>
    <row r="137" spans="7:9">
      <c r="G137" s="89"/>
      <c r="I137"/>
    </row>
    <row r="138" spans="7:9">
      <c r="G138" s="89"/>
      <c r="I138"/>
    </row>
    <row r="139" spans="7:9">
      <c r="G139" s="89"/>
      <c r="I139"/>
    </row>
    <row r="140" spans="7:9">
      <c r="G140" s="89"/>
      <c r="I140"/>
    </row>
    <row r="141" spans="7:9">
      <c r="G141" s="89"/>
      <c r="I141"/>
    </row>
    <row r="142" spans="7:9">
      <c r="G142" s="89"/>
      <c r="I142"/>
    </row>
    <row r="143" spans="7:9">
      <c r="G143" s="89"/>
      <c r="I143"/>
    </row>
    <row r="144" spans="7:9">
      <c r="G144" s="89"/>
      <c r="I144"/>
    </row>
    <row r="145" spans="7:9">
      <c r="G145" s="89"/>
      <c r="I145"/>
    </row>
    <row r="146" spans="7:9">
      <c r="G146" s="89"/>
      <c r="I146"/>
    </row>
    <row r="147" spans="7:9">
      <c r="G147" s="89"/>
      <c r="I147"/>
    </row>
    <row r="148" spans="7:9">
      <c r="G148" s="89"/>
      <c r="I148"/>
    </row>
    <row r="149" spans="7:9">
      <c r="G149" s="89"/>
      <c r="I149"/>
    </row>
    <row r="150" spans="7:9">
      <c r="G150" s="89"/>
      <c r="I150"/>
    </row>
    <row r="151" spans="7:9">
      <c r="G151" s="89"/>
      <c r="I151"/>
    </row>
    <row r="152" spans="7:9">
      <c r="G152" s="89"/>
      <c r="I152"/>
    </row>
    <row r="153" spans="7:9">
      <c r="G153" s="89"/>
      <c r="I153"/>
    </row>
    <row r="154" spans="7:9">
      <c r="G154" s="89"/>
      <c r="I154"/>
    </row>
    <row r="155" spans="7:9">
      <c r="G155" s="89"/>
      <c r="I155"/>
    </row>
    <row r="156" spans="7:9">
      <c r="G156" s="89"/>
      <c r="I156"/>
    </row>
    <row r="157" spans="7:9">
      <c r="G157" s="89"/>
      <c r="I157"/>
    </row>
    <row r="158" spans="7:9">
      <c r="G158" s="89"/>
      <c r="I158"/>
    </row>
    <row r="159" spans="7:9">
      <c r="G159" s="89"/>
      <c r="I159"/>
    </row>
    <row r="160" spans="7:9">
      <c r="G160" s="89"/>
      <c r="I160"/>
    </row>
    <row r="161" spans="7:9">
      <c r="G161" s="89"/>
      <c r="I161"/>
    </row>
    <row r="162" spans="7:9">
      <c r="G162" s="89"/>
      <c r="I162"/>
    </row>
    <row r="163" spans="7:9">
      <c r="G163" s="89"/>
      <c r="I163"/>
    </row>
    <row r="164" spans="7:9">
      <c r="G164" s="89"/>
      <c r="I164"/>
    </row>
    <row r="165" spans="7:9">
      <c r="G165" s="89"/>
      <c r="I165"/>
    </row>
    <row r="166" spans="7:9">
      <c r="G166" s="89"/>
      <c r="I166"/>
    </row>
    <row r="167" spans="7:9">
      <c r="G167" s="89"/>
      <c r="I167"/>
    </row>
    <row r="168" spans="7:9">
      <c r="G168" s="89"/>
      <c r="I168"/>
    </row>
    <row r="169" spans="7:9">
      <c r="G169" s="89"/>
      <c r="I169"/>
    </row>
    <row r="170" spans="7:9">
      <c r="G170" s="89"/>
      <c r="I170"/>
    </row>
    <row r="171" spans="7:9">
      <c r="G171" s="89"/>
      <c r="I171"/>
    </row>
    <row r="172" spans="7:9">
      <c r="G172" s="89"/>
      <c r="I172"/>
    </row>
    <row r="173" spans="7:9">
      <c r="G173" s="89"/>
      <c r="I173"/>
    </row>
    <row r="174" spans="7:9">
      <c r="G174" s="89"/>
      <c r="I174"/>
    </row>
    <row r="175" spans="7:9">
      <c r="G175" s="89"/>
      <c r="I175"/>
    </row>
    <row r="176" spans="7:9">
      <c r="G176" s="89"/>
      <c r="I176"/>
    </row>
    <row r="177" spans="7:9">
      <c r="G177" s="89"/>
      <c r="I177"/>
    </row>
    <row r="178" spans="7:9">
      <c r="G178" s="89"/>
      <c r="I178"/>
    </row>
    <row r="179" spans="7:9">
      <c r="G179" s="89"/>
      <c r="I179"/>
    </row>
    <row r="180" spans="7:9">
      <c r="G180" s="89"/>
      <c r="I180"/>
    </row>
    <row r="181" spans="7:9">
      <c r="G181" s="89"/>
      <c r="I181"/>
    </row>
    <row r="182" spans="7:9">
      <c r="G182" s="89"/>
      <c r="I182"/>
    </row>
    <row r="183" spans="7:9">
      <c r="G183" s="89"/>
      <c r="I183"/>
    </row>
    <row r="184" spans="7:9">
      <c r="G184" s="89"/>
      <c r="I184"/>
    </row>
    <row r="185" spans="7:9">
      <c r="G185" s="89"/>
      <c r="I185"/>
    </row>
    <row r="186" spans="7:9">
      <c r="G186" s="89"/>
      <c r="I186"/>
    </row>
    <row r="187" spans="7:9">
      <c r="G187" s="89"/>
      <c r="I187"/>
    </row>
    <row r="188" spans="7:9">
      <c r="G188" s="89"/>
      <c r="I188"/>
    </row>
    <row r="189" spans="7:9">
      <c r="G189" s="89"/>
      <c r="I189"/>
    </row>
    <row r="190" spans="7:9">
      <c r="G190" s="89"/>
      <c r="I190"/>
    </row>
    <row r="191" spans="7:9">
      <c r="G191" s="89"/>
      <c r="I191"/>
    </row>
    <row r="192" spans="7:9">
      <c r="G192" s="89"/>
      <c r="I192"/>
    </row>
    <row r="193" spans="7:9">
      <c r="G193" s="89"/>
      <c r="I193"/>
    </row>
    <row r="194" spans="7:9">
      <c r="G194" s="89"/>
      <c r="I194"/>
    </row>
    <row r="195" spans="7:9">
      <c r="G195" s="89"/>
      <c r="I195"/>
    </row>
    <row r="196" spans="7:9">
      <c r="G196" s="89"/>
      <c r="I196"/>
    </row>
    <row r="197" spans="7:9">
      <c r="G197" s="89"/>
      <c r="I197"/>
    </row>
    <row r="198" spans="7:9">
      <c r="G198" s="89"/>
      <c r="I198"/>
    </row>
    <row r="199" spans="7:9">
      <c r="G199" s="89"/>
      <c r="I199"/>
    </row>
    <row r="200" spans="7:9">
      <c r="G200" s="89"/>
      <c r="I200"/>
    </row>
    <row r="201" spans="7:9">
      <c r="G201" s="89"/>
      <c r="I201"/>
    </row>
    <row r="202" spans="7:9">
      <c r="G202" s="89"/>
      <c r="I202"/>
    </row>
    <row r="203" spans="7:9">
      <c r="G203" s="89"/>
      <c r="I203"/>
    </row>
    <row r="204" spans="7:9">
      <c r="G204" s="89"/>
      <c r="I204"/>
    </row>
    <row r="205" spans="7:9">
      <c r="G205" s="89"/>
      <c r="I205"/>
    </row>
    <row r="206" spans="7:9">
      <c r="G206" s="89"/>
      <c r="I206"/>
    </row>
    <row r="207" spans="7:9">
      <c r="G207" s="89"/>
      <c r="I207"/>
    </row>
    <row r="208" spans="7:9">
      <c r="G208" s="89"/>
      <c r="I208"/>
    </row>
    <row r="209" spans="7:9">
      <c r="G209" s="89"/>
      <c r="I209"/>
    </row>
    <row r="210" spans="7:9">
      <c r="G210" s="89"/>
      <c r="I210"/>
    </row>
    <row r="211" spans="7:9">
      <c r="G211" s="89"/>
      <c r="I211"/>
    </row>
    <row r="212" spans="7:9">
      <c r="G212" s="89"/>
      <c r="I212"/>
    </row>
    <row r="213" spans="7:9">
      <c r="G213" s="89"/>
      <c r="I213"/>
    </row>
    <row r="214" spans="7:9">
      <c r="G214" s="89"/>
      <c r="I214"/>
    </row>
    <row r="215" spans="7:9">
      <c r="G215" s="89"/>
      <c r="I215"/>
    </row>
    <row r="216" spans="7:9">
      <c r="G216" s="89"/>
      <c r="I216"/>
    </row>
    <row r="217" spans="7:9">
      <c r="G217" s="89"/>
      <c r="I217"/>
    </row>
    <row r="218" spans="7:9">
      <c r="G218" s="89"/>
      <c r="I218"/>
    </row>
    <row r="219" spans="7:9">
      <c r="G219" s="89"/>
      <c r="I219"/>
    </row>
    <row r="220" spans="7:9">
      <c r="G220" s="89"/>
      <c r="I220"/>
    </row>
    <row r="221" spans="7:9">
      <c r="G221" s="89"/>
      <c r="I221"/>
    </row>
    <row r="222" spans="7:9">
      <c r="G222" s="89"/>
      <c r="I222"/>
    </row>
    <row r="223" spans="7:9">
      <c r="G223" s="89"/>
      <c r="I223"/>
    </row>
    <row r="224" spans="7:9">
      <c r="G224" s="89"/>
      <c r="I224"/>
    </row>
    <row r="225" spans="7:9">
      <c r="G225" s="89"/>
      <c r="I225"/>
    </row>
    <row r="226" spans="7:9">
      <c r="G226" s="89"/>
      <c r="I226"/>
    </row>
    <row r="227" spans="7:9">
      <c r="G227" s="89"/>
      <c r="I227"/>
    </row>
    <row r="228" spans="7:9">
      <c r="G228" s="89"/>
      <c r="I228"/>
    </row>
    <row r="229" spans="7:9">
      <c r="G229" s="89"/>
      <c r="I229"/>
    </row>
    <row r="230" spans="7:9">
      <c r="G230" s="89"/>
      <c r="I230"/>
    </row>
    <row r="231" spans="7:9">
      <c r="G231" s="89"/>
      <c r="I231"/>
    </row>
    <row r="232" spans="7:9">
      <c r="G232" s="89"/>
      <c r="I232"/>
    </row>
    <row r="233" spans="7:9">
      <c r="G233" s="89"/>
      <c r="I233"/>
    </row>
    <row r="234" spans="7:9">
      <c r="G234" s="89"/>
      <c r="I234"/>
    </row>
    <row r="235" spans="7:9">
      <c r="G235" s="89"/>
      <c r="I235"/>
    </row>
    <row r="236" spans="7:9">
      <c r="G236" s="89"/>
      <c r="I236"/>
    </row>
    <row r="237" spans="7:9">
      <c r="G237" s="89"/>
      <c r="I237"/>
    </row>
    <row r="238" spans="7:9">
      <c r="G238" s="89"/>
      <c r="I238"/>
    </row>
    <row r="239" spans="7:9">
      <c r="G239" s="89"/>
      <c r="I239"/>
    </row>
    <row r="240" spans="7:9">
      <c r="G240" s="89"/>
      <c r="I240"/>
    </row>
    <row r="241" spans="7:9">
      <c r="G241" s="89"/>
      <c r="I241"/>
    </row>
    <row r="242" spans="7:9">
      <c r="G242" s="89"/>
      <c r="I242"/>
    </row>
    <row r="243" spans="7:9">
      <c r="G243" s="89"/>
      <c r="I243"/>
    </row>
    <row r="244" spans="7:9">
      <c r="G244" s="89"/>
      <c r="I244"/>
    </row>
    <row r="245" spans="7:9">
      <c r="G245" s="89"/>
      <c r="I245"/>
    </row>
    <row r="246" spans="7:9">
      <c r="G246" s="89"/>
    </row>
    <row r="247" spans="7:9">
      <c r="G247" s="89"/>
    </row>
    <row r="248" spans="7:9">
      <c r="G248" s="89"/>
    </row>
    <row r="249" spans="7:9">
      <c r="G249" s="89"/>
    </row>
    <row r="250" spans="7:9">
      <c r="G250" s="89"/>
    </row>
    <row r="251" spans="7:9">
      <c r="G251" s="89"/>
    </row>
    <row r="252" spans="7:9">
      <c r="G252" s="89"/>
    </row>
    <row r="253" spans="7:9">
      <c r="G253" s="89"/>
    </row>
    <row r="254" spans="7:9">
      <c r="G254" s="89"/>
    </row>
    <row r="255" spans="7:9">
      <c r="G255" s="89"/>
    </row>
    <row r="256" spans="7:9">
      <c r="G256" s="89"/>
    </row>
    <row r="257" spans="7:7">
      <c r="G257" s="89"/>
    </row>
    <row r="258" spans="7:7">
      <c r="G258" s="89"/>
    </row>
    <row r="259" spans="7:7">
      <c r="G259" s="89"/>
    </row>
    <row r="260" spans="7:7">
      <c r="G260" s="89"/>
    </row>
    <row r="261" spans="7:7">
      <c r="G261" s="89"/>
    </row>
    <row r="262" spans="7:7">
      <c r="G262" s="89"/>
    </row>
    <row r="263" spans="7:7">
      <c r="G263" s="89"/>
    </row>
    <row r="264" spans="7:7">
      <c r="G264" s="89"/>
    </row>
    <row r="265" spans="7:7">
      <c r="G265" s="89"/>
    </row>
    <row r="266" spans="7:7">
      <c r="G266" s="89"/>
    </row>
    <row r="267" spans="7:7">
      <c r="G267" s="89"/>
    </row>
    <row r="268" spans="7:7">
      <c r="G268" s="89"/>
    </row>
    <row r="269" spans="7:7">
      <c r="G269" s="89"/>
    </row>
    <row r="270" spans="7:7">
      <c r="G270" s="89"/>
    </row>
    <row r="271" spans="7:7">
      <c r="G271" s="89"/>
    </row>
    <row r="272" spans="7:7">
      <c r="G272" s="89"/>
    </row>
    <row r="273" spans="7:7">
      <c r="G273" s="89"/>
    </row>
    <row r="274" spans="7:7">
      <c r="G274" s="89"/>
    </row>
    <row r="275" spans="7:7">
      <c r="G275" s="89"/>
    </row>
    <row r="276" spans="7:7">
      <c r="G276" s="89"/>
    </row>
    <row r="277" spans="7:7">
      <c r="G277" s="89"/>
    </row>
    <row r="278" spans="7:7">
      <c r="G278" s="89"/>
    </row>
    <row r="279" spans="7:7">
      <c r="G279" s="89"/>
    </row>
    <row r="280" spans="7:7">
      <c r="G280" s="89"/>
    </row>
    <row r="281" spans="7:7">
      <c r="G281" s="89"/>
    </row>
    <row r="282" spans="7:7">
      <c r="G282" s="89"/>
    </row>
    <row r="283" spans="7:7">
      <c r="G283" s="89"/>
    </row>
    <row r="284" spans="7:7">
      <c r="G284" s="89"/>
    </row>
    <row r="285" spans="7:7">
      <c r="G285" s="89"/>
    </row>
    <row r="286" spans="7:7">
      <c r="G286" s="89"/>
    </row>
    <row r="287" spans="7:7">
      <c r="G287" s="89"/>
    </row>
    <row r="288" spans="7:7">
      <c r="G288" s="89"/>
    </row>
    <row r="289" spans="7:7">
      <c r="G289" s="89"/>
    </row>
    <row r="290" spans="7:7">
      <c r="G290" s="89"/>
    </row>
    <row r="291" spans="7:7">
      <c r="G291" s="89"/>
    </row>
    <row r="292" spans="7:7">
      <c r="G292" s="89"/>
    </row>
    <row r="293" spans="7:7">
      <c r="G293" s="89"/>
    </row>
    <row r="294" spans="7:7">
      <c r="G294" s="89"/>
    </row>
    <row r="295" spans="7:7">
      <c r="G295" s="89"/>
    </row>
    <row r="296" spans="7:7">
      <c r="G296" s="89"/>
    </row>
    <row r="297" spans="7:7">
      <c r="G297" s="89"/>
    </row>
    <row r="298" spans="7:7">
      <c r="G298" s="89"/>
    </row>
    <row r="299" spans="7:7">
      <c r="G299" s="89"/>
    </row>
    <row r="300" spans="7:7">
      <c r="G300" s="89"/>
    </row>
    <row r="301" spans="7:7">
      <c r="G301" s="89"/>
    </row>
    <row r="302" spans="7:7">
      <c r="G302" s="89"/>
    </row>
    <row r="303" spans="7:7">
      <c r="G303" s="89"/>
    </row>
    <row r="304" spans="7:7">
      <c r="G304" s="89"/>
    </row>
    <row r="305" spans="7:7">
      <c r="G305" s="89"/>
    </row>
    <row r="306" spans="7:7">
      <c r="G306" s="89"/>
    </row>
    <row r="307" spans="7:7">
      <c r="G307" s="89"/>
    </row>
    <row r="308" spans="7:7">
      <c r="G308" s="89"/>
    </row>
    <row r="309" spans="7:7">
      <c r="G309" s="89"/>
    </row>
    <row r="310" spans="7:7">
      <c r="G310" s="89"/>
    </row>
    <row r="311" spans="7:7">
      <c r="G311" s="89"/>
    </row>
    <row r="312" spans="7:7">
      <c r="G312" s="89"/>
    </row>
    <row r="313" spans="7:7">
      <c r="G313" s="89"/>
    </row>
    <row r="314" spans="7:7">
      <c r="G314" s="89"/>
    </row>
    <row r="315" spans="7:7">
      <c r="G315" s="89"/>
    </row>
    <row r="316" spans="7:7">
      <c r="G316" s="89"/>
    </row>
    <row r="317" spans="7:7">
      <c r="G317" s="89"/>
    </row>
    <row r="318" spans="7:7">
      <c r="G318" s="89"/>
    </row>
    <row r="319" spans="7:7">
      <c r="G319" s="89"/>
    </row>
    <row r="320" spans="7:7">
      <c r="G320" s="89"/>
    </row>
    <row r="321" spans="7:7">
      <c r="G321" s="89"/>
    </row>
    <row r="322" spans="7:7">
      <c r="G322" s="89"/>
    </row>
    <row r="323" spans="7:7">
      <c r="G323" s="89"/>
    </row>
    <row r="324" spans="7:7">
      <c r="G324" s="89"/>
    </row>
    <row r="325" spans="7:7">
      <c r="G325" s="89"/>
    </row>
    <row r="326" spans="7:7">
      <c r="G326" s="89"/>
    </row>
    <row r="327" spans="7:7">
      <c r="G327" s="89"/>
    </row>
    <row r="328" spans="7:7">
      <c r="G328" s="89"/>
    </row>
    <row r="329" spans="7:7">
      <c r="G329" s="89"/>
    </row>
    <row r="330" spans="7:7">
      <c r="G330" s="89"/>
    </row>
    <row r="331" spans="7:7">
      <c r="G331" s="89"/>
    </row>
    <row r="332" spans="7:7">
      <c r="G332" s="89"/>
    </row>
    <row r="333" spans="7:7">
      <c r="G333" s="89"/>
    </row>
    <row r="334" spans="7:7">
      <c r="G334" s="89"/>
    </row>
    <row r="335" spans="7:7">
      <c r="G335" s="89"/>
    </row>
    <row r="336" spans="7:7">
      <c r="G336" s="89"/>
    </row>
    <row r="337" spans="7:7">
      <c r="G337" s="89"/>
    </row>
    <row r="338" spans="7:7">
      <c r="G338" s="89"/>
    </row>
    <row r="339" spans="7:7">
      <c r="G339" s="89"/>
    </row>
    <row r="340" spans="7:7">
      <c r="G340" s="89"/>
    </row>
    <row r="341" spans="7:7">
      <c r="G341" s="89"/>
    </row>
    <row r="342" spans="7:7">
      <c r="G342" s="89"/>
    </row>
    <row r="343" spans="7:7">
      <c r="G343" s="89"/>
    </row>
    <row r="344" spans="7:7">
      <c r="G344" s="89"/>
    </row>
    <row r="345" spans="7:7">
      <c r="G345" s="89"/>
    </row>
    <row r="346" spans="7:7">
      <c r="G346" s="89"/>
    </row>
    <row r="347" spans="7:7">
      <c r="G347" s="89"/>
    </row>
    <row r="348" spans="7:7">
      <c r="G348" s="89"/>
    </row>
    <row r="349" spans="7:7">
      <c r="G349" s="89"/>
    </row>
    <row r="350" spans="7:7">
      <c r="G350" s="89"/>
    </row>
    <row r="351" spans="7:7">
      <c r="G351" s="89"/>
    </row>
    <row r="352" spans="7:7">
      <c r="G352" s="89"/>
    </row>
    <row r="353" spans="7:7">
      <c r="G353" s="89"/>
    </row>
    <row r="354" spans="7:7">
      <c r="G354" s="89"/>
    </row>
    <row r="355" spans="7:7">
      <c r="G355" s="89"/>
    </row>
    <row r="356" spans="7:7">
      <c r="G356" s="89"/>
    </row>
    <row r="357" spans="7:7">
      <c r="G357" s="89"/>
    </row>
    <row r="358" spans="7:7">
      <c r="G358" s="89"/>
    </row>
    <row r="359" spans="7:7">
      <c r="G359" s="89"/>
    </row>
    <row r="360" spans="7:7">
      <c r="G360" s="89"/>
    </row>
    <row r="361" spans="7:7">
      <c r="G361" s="89"/>
    </row>
    <row r="362" spans="7:7">
      <c r="G362" s="89"/>
    </row>
    <row r="363" spans="7:7">
      <c r="G363" s="89"/>
    </row>
    <row r="364" spans="7:7">
      <c r="G364" s="89"/>
    </row>
    <row r="365" spans="7:7">
      <c r="G365" s="89"/>
    </row>
    <row r="366" spans="7:7">
      <c r="G366" s="89"/>
    </row>
    <row r="367" spans="7:7">
      <c r="G367" s="89"/>
    </row>
    <row r="368" spans="7:7">
      <c r="G368" s="89"/>
    </row>
    <row r="369" spans="7:7">
      <c r="G369" s="89"/>
    </row>
    <row r="370" spans="7:7">
      <c r="G370" s="89"/>
    </row>
    <row r="371" spans="7:7">
      <c r="G371" s="89"/>
    </row>
    <row r="372" spans="7:7">
      <c r="G372" s="89"/>
    </row>
    <row r="373" spans="7:7">
      <c r="G373" s="89"/>
    </row>
    <row r="374" spans="7:7">
      <c r="G374" s="89"/>
    </row>
    <row r="375" spans="7:7">
      <c r="G375" s="89"/>
    </row>
    <row r="376" spans="7:7">
      <c r="G376" s="89"/>
    </row>
    <row r="377" spans="7:7">
      <c r="G377" s="89"/>
    </row>
    <row r="378" spans="7:7">
      <c r="G378" s="89"/>
    </row>
    <row r="379" spans="7:7">
      <c r="G379" s="89"/>
    </row>
    <row r="380" spans="7:7">
      <c r="G380" s="89"/>
    </row>
    <row r="381" spans="7:7">
      <c r="G381" s="89"/>
    </row>
    <row r="382" spans="7:7">
      <c r="G382" s="89"/>
    </row>
    <row r="383" spans="7:7">
      <c r="G383" s="89"/>
    </row>
    <row r="384" spans="7:7">
      <c r="G384" s="89"/>
    </row>
    <row r="385" spans="7:7">
      <c r="G385" s="89"/>
    </row>
    <row r="386" spans="7:7">
      <c r="G386" s="89"/>
    </row>
    <row r="387" spans="7:7">
      <c r="G387" s="89"/>
    </row>
    <row r="388" spans="7:7">
      <c r="G388" s="89"/>
    </row>
    <row r="389" spans="7:7">
      <c r="G389" s="89"/>
    </row>
    <row r="390" spans="7:7">
      <c r="G390" s="89"/>
    </row>
    <row r="391" spans="7:7">
      <c r="G391" s="89"/>
    </row>
    <row r="392" spans="7:7">
      <c r="G392" s="89"/>
    </row>
    <row r="393" spans="7:7">
      <c r="G393" s="89"/>
    </row>
    <row r="394" spans="7:7">
      <c r="G394" s="89"/>
    </row>
    <row r="395" spans="7:7">
      <c r="G395" s="89"/>
    </row>
    <row r="396" spans="7:7">
      <c r="G396" s="89"/>
    </row>
    <row r="397" spans="7:7">
      <c r="G397" s="89"/>
    </row>
    <row r="398" spans="7:7">
      <c r="G398" s="89"/>
    </row>
    <row r="399" spans="7:7">
      <c r="G399" s="89"/>
    </row>
    <row r="400" spans="7:7">
      <c r="G400" s="89"/>
    </row>
    <row r="401" spans="7:7">
      <c r="G401" s="89"/>
    </row>
    <row r="402" spans="7:7">
      <c r="G402" s="89"/>
    </row>
    <row r="403" spans="7:7">
      <c r="G403" s="89"/>
    </row>
    <row r="404" spans="7:7">
      <c r="G404" s="89"/>
    </row>
    <row r="405" spans="7:7">
      <c r="G405" s="89"/>
    </row>
    <row r="406" spans="7:7">
      <c r="G406" s="89"/>
    </row>
    <row r="407" spans="7:7">
      <c r="G407" s="89"/>
    </row>
    <row r="408" spans="7:7">
      <c r="G408" s="89"/>
    </row>
    <row r="409" spans="7:7">
      <c r="G409" s="89"/>
    </row>
    <row r="410" spans="7:7">
      <c r="G410" s="89"/>
    </row>
    <row r="411" spans="7:7">
      <c r="G411" s="89"/>
    </row>
    <row r="412" spans="7:7">
      <c r="G412" s="89"/>
    </row>
    <row r="413" spans="7:7">
      <c r="G413" s="89"/>
    </row>
  </sheetData>
  <mergeCells count="11">
    <mergeCell ref="C4:C5"/>
    <mergeCell ref="A3:A5"/>
    <mergeCell ref="I3:I5"/>
    <mergeCell ref="A1:I1"/>
    <mergeCell ref="A2:I2"/>
    <mergeCell ref="F4:F5"/>
    <mergeCell ref="G4:G5"/>
    <mergeCell ref="H4:H5"/>
    <mergeCell ref="F3:H3"/>
    <mergeCell ref="D3:D5"/>
    <mergeCell ref="E3:E5"/>
  </mergeCells>
  <dataValidations count="2">
    <dataValidation type="list" allowBlank="1" showInputMessage="1" showErrorMessage="1" sqref="B6" xr:uid="{00000000-0002-0000-0400-000000000000}">
      <formula1>$B$4:$B$4</formula1>
    </dataValidation>
    <dataValidation type="list" allowBlank="1" showInputMessage="1" showErrorMessage="1" sqref="B7:B98" xr:uid="{00000000-0002-0000-0400-000001000000}">
      <formula1>$B$4:$B$5</formula1>
    </dataValidation>
  </dataValidations>
  <pageMargins left="0.70866141732283472" right="0.70866141732283472" top="0.74803149606299213" bottom="0.74803149606299213" header="0.31496062992125984" footer="0.31496062992125984"/>
  <pageSetup paperSize="9" scale="80" fitToHeight="3" orientation="landscape" r:id="rId1"/>
  <headerFooter>
    <oddFooter>&amp;C&amp;A&amp;R&amp;P</oddFooter>
  </headerFooter>
  <ignoredErrors>
    <ignoredError sqref="H32" twoDigitTextYear="1"/>
    <ignoredError sqref="F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R125"/>
  <sheetViews>
    <sheetView zoomScaleNormal="100" workbookViewId="0">
      <pane ySplit="6" topLeftCell="A7" activePane="bottomLeft" state="frozen"/>
      <selection pane="bottomLeft" sqref="A1:I1"/>
    </sheetView>
  </sheetViews>
  <sheetFormatPr baseColWidth="10" defaultColWidth="8.83203125" defaultRowHeight="15"/>
  <cols>
    <col min="1" max="1" width="27" style="3" customWidth="1"/>
    <col min="2" max="2" width="33.83203125" style="88" customWidth="1"/>
    <col min="3" max="5" width="10.5" style="5" customWidth="1"/>
    <col min="6" max="6" width="14.1640625" style="3" customWidth="1"/>
    <col min="7" max="7" width="12.6640625" style="86" customWidth="1"/>
    <col min="8" max="8" width="14.6640625" style="14" customWidth="1"/>
    <col min="9" max="9" width="15.6640625" style="34" customWidth="1"/>
    <col min="10" max="10" width="8.83203125" style="81"/>
    <col min="14" max="14" width="15.6640625" bestFit="1" customWidth="1"/>
    <col min="15" max="17" width="19.33203125" bestFit="1" customWidth="1"/>
  </cols>
  <sheetData>
    <row r="1" spans="1:10" s="1" customFormat="1" ht="30" customHeight="1">
      <c r="A1" s="249" t="s">
        <v>239</v>
      </c>
      <c r="B1" s="249"/>
      <c r="C1" s="249"/>
      <c r="D1" s="249"/>
      <c r="E1" s="249"/>
      <c r="F1" s="249"/>
      <c r="G1" s="249"/>
      <c r="H1" s="249"/>
      <c r="I1" s="254"/>
      <c r="J1" s="96"/>
    </row>
    <row r="2" spans="1:10" s="1" customFormat="1" ht="16" customHeight="1">
      <c r="A2" s="255" t="s">
        <v>486</v>
      </c>
      <c r="B2" s="255"/>
      <c r="C2" s="255"/>
      <c r="D2" s="255"/>
      <c r="E2" s="255"/>
      <c r="F2" s="255"/>
      <c r="G2" s="255"/>
      <c r="H2" s="255"/>
      <c r="I2" s="256"/>
      <c r="J2" s="96"/>
    </row>
    <row r="3" spans="1:10" ht="68" customHeight="1">
      <c r="A3" s="247" t="s">
        <v>675</v>
      </c>
      <c r="B3" s="97" t="str">
        <f>'Оценка (раздел 1)'!G3</f>
        <v>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2022 год и на плановый период 2023 и 2024 годов?</v>
      </c>
      <c r="C3" s="135" t="s">
        <v>101</v>
      </c>
      <c r="D3" s="247" t="s">
        <v>158</v>
      </c>
      <c r="E3" s="247"/>
      <c r="F3" s="248" t="s">
        <v>238</v>
      </c>
      <c r="G3" s="253"/>
      <c r="H3" s="253"/>
      <c r="I3" s="247" t="s">
        <v>132</v>
      </c>
    </row>
    <row r="4" spans="1:10" ht="18" customHeight="1">
      <c r="A4" s="247"/>
      <c r="B4" s="98" t="str">
        <f>'Методика (раздел 1)'!B17</f>
        <v>Да, содержится</v>
      </c>
      <c r="C4" s="246" t="s">
        <v>91</v>
      </c>
      <c r="D4" s="247" t="s">
        <v>159</v>
      </c>
      <c r="E4" s="247" t="s">
        <v>160</v>
      </c>
      <c r="F4" s="247" t="s">
        <v>111</v>
      </c>
      <c r="G4" s="247" t="s">
        <v>114</v>
      </c>
      <c r="H4" s="247" t="s">
        <v>136</v>
      </c>
      <c r="I4" s="247"/>
    </row>
    <row r="5" spans="1:10" ht="18" customHeight="1">
      <c r="A5" s="247"/>
      <c r="B5" s="98" t="str">
        <f>'Методика (раздел 1)'!B18</f>
        <v xml:space="preserve">Нет, не содержится </v>
      </c>
      <c r="C5" s="246"/>
      <c r="D5" s="247"/>
      <c r="E5" s="247"/>
      <c r="F5" s="247"/>
      <c r="G5" s="247"/>
      <c r="H5" s="247"/>
      <c r="I5" s="247"/>
    </row>
    <row r="6" spans="1:10" ht="16" customHeight="1">
      <c r="A6" s="227" t="s">
        <v>0</v>
      </c>
      <c r="B6" s="100"/>
      <c r="C6" s="99"/>
      <c r="D6" s="99"/>
      <c r="E6" s="99"/>
      <c r="F6" s="100"/>
      <c r="G6" s="46"/>
      <c r="H6" s="101"/>
      <c r="I6" s="102"/>
    </row>
    <row r="7" spans="1:10" ht="16" customHeight="1">
      <c r="A7" s="228" t="s">
        <v>1</v>
      </c>
      <c r="B7" s="54" t="s">
        <v>94</v>
      </c>
      <c r="C7" s="103">
        <f>IF(B7="Да, содержится",2,0)</f>
        <v>2</v>
      </c>
      <c r="D7" s="94" t="s">
        <v>122</v>
      </c>
      <c r="E7" s="94" t="s">
        <v>122</v>
      </c>
      <c r="F7" s="54">
        <f>'1.2'!F7</f>
        <v>130</v>
      </c>
      <c r="G7" s="53">
        <f>'1.1'!H7</f>
        <v>44546</v>
      </c>
      <c r="H7" s="104">
        <v>10</v>
      </c>
      <c r="I7" s="54" t="s">
        <v>112</v>
      </c>
    </row>
    <row r="8" spans="1:10" ht="16" customHeight="1">
      <c r="A8" s="228" t="s">
        <v>2</v>
      </c>
      <c r="B8" s="54" t="s">
        <v>94</v>
      </c>
      <c r="C8" s="103">
        <f t="shared" ref="C8:C24" si="0">IF(B8="Да, содержится",2,0)</f>
        <v>2</v>
      </c>
      <c r="D8" s="94" t="s">
        <v>122</v>
      </c>
      <c r="E8" s="94" t="s">
        <v>122</v>
      </c>
      <c r="F8" s="54" t="str">
        <f>'1.2'!F8</f>
        <v>105-З</v>
      </c>
      <c r="G8" s="53">
        <f>'1.1'!H8</f>
        <v>44543</v>
      </c>
      <c r="H8" s="54">
        <v>5</v>
      </c>
      <c r="I8" s="54" t="s">
        <v>112</v>
      </c>
    </row>
    <row r="9" spans="1:10" ht="16" customHeight="1">
      <c r="A9" s="228" t="s">
        <v>3</v>
      </c>
      <c r="B9" s="54" t="s">
        <v>94</v>
      </c>
      <c r="C9" s="103">
        <f t="shared" si="0"/>
        <v>2</v>
      </c>
      <c r="D9" s="94" t="s">
        <v>122</v>
      </c>
      <c r="E9" s="94" t="s">
        <v>122</v>
      </c>
      <c r="F9" s="54" t="str">
        <f>'1.2'!F9</f>
        <v>142-ОЗ</v>
      </c>
      <c r="G9" s="53">
        <f>'1.1'!H9</f>
        <v>44553</v>
      </c>
      <c r="H9" s="104">
        <v>11</v>
      </c>
      <c r="I9" s="54" t="s">
        <v>112</v>
      </c>
    </row>
    <row r="10" spans="1:10" ht="16" customHeight="1">
      <c r="A10" s="228" t="s">
        <v>4</v>
      </c>
      <c r="B10" s="54" t="s">
        <v>94</v>
      </c>
      <c r="C10" s="103">
        <f t="shared" si="0"/>
        <v>2</v>
      </c>
      <c r="D10" s="94" t="s">
        <v>122</v>
      </c>
      <c r="E10" s="94" t="s">
        <v>122</v>
      </c>
      <c r="F10" s="54" t="str">
        <f>'1.2'!F10</f>
        <v>126-ОЗ</v>
      </c>
      <c r="G10" s="53">
        <f>'1.1'!H10</f>
        <v>44544</v>
      </c>
      <c r="H10" s="104">
        <v>6</v>
      </c>
      <c r="I10" s="54" t="s">
        <v>112</v>
      </c>
    </row>
    <row r="11" spans="1:10" ht="16" customHeight="1">
      <c r="A11" s="228" t="s">
        <v>5</v>
      </c>
      <c r="B11" s="54" t="s">
        <v>94</v>
      </c>
      <c r="C11" s="103">
        <f t="shared" si="0"/>
        <v>2</v>
      </c>
      <c r="D11" s="94" t="s">
        <v>122</v>
      </c>
      <c r="E11" s="94" t="s">
        <v>122</v>
      </c>
      <c r="F11" s="54" t="str">
        <f>'1.2'!F11</f>
        <v>98-ОЗ</v>
      </c>
      <c r="G11" s="53">
        <f>'1.1'!H11</f>
        <v>44545</v>
      </c>
      <c r="H11" s="104">
        <v>10</v>
      </c>
      <c r="I11" s="54" t="s">
        <v>112</v>
      </c>
    </row>
    <row r="12" spans="1:10" ht="16" customHeight="1">
      <c r="A12" s="228" t="s">
        <v>6</v>
      </c>
      <c r="B12" s="54" t="s">
        <v>94</v>
      </c>
      <c r="C12" s="103">
        <f t="shared" si="0"/>
        <v>2</v>
      </c>
      <c r="D12" s="94" t="s">
        <v>122</v>
      </c>
      <c r="E12" s="94" t="s">
        <v>122</v>
      </c>
      <c r="F12" s="54" t="str">
        <f>'1.2'!F12</f>
        <v xml:space="preserve"> 167-ОЗ</v>
      </c>
      <c r="G12" s="53">
        <f>'1.1'!H12</f>
        <v>44533</v>
      </c>
      <c r="H12" s="104" t="s">
        <v>157</v>
      </c>
      <c r="I12" s="54" t="s">
        <v>112</v>
      </c>
    </row>
    <row r="13" spans="1:10" ht="16" customHeight="1">
      <c r="A13" s="228" t="s">
        <v>7</v>
      </c>
      <c r="B13" s="54" t="s">
        <v>94</v>
      </c>
      <c r="C13" s="103">
        <f t="shared" si="0"/>
        <v>2</v>
      </c>
      <c r="D13" s="94" t="s">
        <v>122</v>
      </c>
      <c r="E13" s="94" t="s">
        <v>122</v>
      </c>
      <c r="F13" s="54" t="str">
        <f>'1.2'!F13</f>
        <v>166-7-ЗКО</v>
      </c>
      <c r="G13" s="53">
        <f>'1.1'!H13</f>
        <v>44551</v>
      </c>
      <c r="H13" s="104" t="s">
        <v>148</v>
      </c>
      <c r="I13" s="54" t="s">
        <v>112</v>
      </c>
    </row>
    <row r="14" spans="1:10" ht="16" customHeight="1">
      <c r="A14" s="228" t="s">
        <v>8</v>
      </c>
      <c r="B14" s="54" t="s">
        <v>94</v>
      </c>
      <c r="C14" s="103">
        <f t="shared" si="0"/>
        <v>2</v>
      </c>
      <c r="D14" s="94" t="s">
        <v>122</v>
      </c>
      <c r="E14" s="94" t="s">
        <v>122</v>
      </c>
      <c r="F14" s="54" t="str">
        <f>'1.2'!F14</f>
        <v>115-ЗКО</v>
      </c>
      <c r="G14" s="53">
        <f>'1.1'!H14</f>
        <v>44537</v>
      </c>
      <c r="H14" s="104" t="s">
        <v>155</v>
      </c>
      <c r="I14" s="54" t="s">
        <v>112</v>
      </c>
    </row>
    <row r="15" spans="1:10" ht="16" customHeight="1">
      <c r="A15" s="228" t="s">
        <v>9</v>
      </c>
      <c r="B15" s="54" t="s">
        <v>94</v>
      </c>
      <c r="C15" s="103">
        <f t="shared" si="0"/>
        <v>2</v>
      </c>
      <c r="D15" s="94" t="s">
        <v>122</v>
      </c>
      <c r="E15" s="94" t="s">
        <v>122</v>
      </c>
      <c r="F15" s="54" t="str">
        <f>'1.2'!F15</f>
        <v>28-ОЗ</v>
      </c>
      <c r="G15" s="53">
        <f>'1.1'!H15</f>
        <v>44543</v>
      </c>
      <c r="H15" s="104">
        <v>9</v>
      </c>
      <c r="I15" s="54" t="s">
        <v>112</v>
      </c>
    </row>
    <row r="16" spans="1:10" ht="16" customHeight="1">
      <c r="A16" s="228" t="s">
        <v>10</v>
      </c>
      <c r="B16" s="54" t="s">
        <v>94</v>
      </c>
      <c r="C16" s="103">
        <f t="shared" si="0"/>
        <v>2</v>
      </c>
      <c r="D16" s="94" t="s">
        <v>122</v>
      </c>
      <c r="E16" s="94" t="s">
        <v>122</v>
      </c>
      <c r="F16" s="54" t="str">
        <f>'1.2'!F16</f>
        <v>252/2021-ОЗ</v>
      </c>
      <c r="G16" s="53">
        <f>'1.1'!H16</f>
        <v>44540</v>
      </c>
      <c r="H16" s="104">
        <v>5</v>
      </c>
      <c r="I16" s="54" t="s">
        <v>112</v>
      </c>
    </row>
    <row r="17" spans="1:17" ht="16" customHeight="1">
      <c r="A17" s="228" t="s">
        <v>11</v>
      </c>
      <c r="B17" s="54" t="s">
        <v>94</v>
      </c>
      <c r="C17" s="103">
        <f t="shared" si="0"/>
        <v>2</v>
      </c>
      <c r="D17" s="94" t="s">
        <v>122</v>
      </c>
      <c r="E17" s="94" t="s">
        <v>122</v>
      </c>
      <c r="F17" s="54" t="str">
        <f>'1.2'!F17</f>
        <v>2696-ОЗ</v>
      </c>
      <c r="G17" s="53">
        <f>'1.1'!H17</f>
        <v>44525</v>
      </c>
      <c r="H17" s="54">
        <v>6</v>
      </c>
      <c r="I17" s="54" t="s">
        <v>112</v>
      </c>
      <c r="N17" s="35"/>
      <c r="O17" s="35"/>
      <c r="P17" s="35"/>
    </row>
    <row r="18" spans="1:17" ht="16" customHeight="1">
      <c r="A18" s="228" t="s">
        <v>12</v>
      </c>
      <c r="B18" s="54" t="s">
        <v>94</v>
      </c>
      <c r="C18" s="103">
        <f t="shared" si="0"/>
        <v>2</v>
      </c>
      <c r="D18" s="94" t="s">
        <v>122</v>
      </c>
      <c r="E18" s="94" t="s">
        <v>122</v>
      </c>
      <c r="F18" s="54" t="str">
        <f>'1.2'!F18</f>
        <v>101-ОЗ</v>
      </c>
      <c r="G18" s="53">
        <f>'1.1'!H18</f>
        <v>44554</v>
      </c>
      <c r="H18" s="104">
        <v>6</v>
      </c>
      <c r="I18" s="54" t="s">
        <v>112</v>
      </c>
    </row>
    <row r="19" spans="1:17" ht="16" customHeight="1">
      <c r="A19" s="228" t="s">
        <v>13</v>
      </c>
      <c r="B19" s="54" t="s">
        <v>94</v>
      </c>
      <c r="C19" s="103">
        <f t="shared" si="0"/>
        <v>2</v>
      </c>
      <c r="D19" s="94" t="s">
        <v>122</v>
      </c>
      <c r="E19" s="94" t="s">
        <v>122</v>
      </c>
      <c r="F19" s="54" t="str">
        <f>'1.2'!F19</f>
        <v>154-з</v>
      </c>
      <c r="G19" s="53">
        <f>'1.1'!H19</f>
        <v>44547</v>
      </c>
      <c r="H19" s="104" t="s">
        <v>155</v>
      </c>
      <c r="I19" s="54" t="s">
        <v>112</v>
      </c>
    </row>
    <row r="20" spans="1:17" ht="16" customHeight="1">
      <c r="A20" s="228" t="s">
        <v>14</v>
      </c>
      <c r="B20" s="54" t="s">
        <v>94</v>
      </c>
      <c r="C20" s="103">
        <f t="shared" si="0"/>
        <v>2</v>
      </c>
      <c r="D20" s="94" t="s">
        <v>122</v>
      </c>
      <c r="E20" s="94" t="s">
        <v>122</v>
      </c>
      <c r="F20" s="54" t="str">
        <f>'1.2'!F20</f>
        <v>37-З</v>
      </c>
      <c r="G20" s="53">
        <f>'1.1'!H20</f>
        <v>44552</v>
      </c>
      <c r="H20" s="104">
        <v>6</v>
      </c>
      <c r="I20" s="54" t="s">
        <v>112</v>
      </c>
    </row>
    <row r="21" spans="1:17" ht="16" customHeight="1">
      <c r="A21" s="228" t="s">
        <v>15</v>
      </c>
      <c r="B21" s="54" t="s">
        <v>94</v>
      </c>
      <c r="C21" s="103">
        <f t="shared" si="0"/>
        <v>2</v>
      </c>
      <c r="D21" s="94" t="s">
        <v>122</v>
      </c>
      <c r="E21" s="94" t="s">
        <v>122</v>
      </c>
      <c r="F21" s="54" t="str">
        <f>'1.2'!F21</f>
        <v>83-ЗО</v>
      </c>
      <c r="G21" s="53">
        <f>'1.1'!H21</f>
        <v>44558</v>
      </c>
      <c r="H21" s="104">
        <v>6</v>
      </c>
      <c r="I21" s="54" t="s">
        <v>112</v>
      </c>
    </row>
    <row r="22" spans="1:17" ht="16" customHeight="1">
      <c r="A22" s="228" t="s">
        <v>16</v>
      </c>
      <c r="B22" s="54" t="s">
        <v>94</v>
      </c>
      <c r="C22" s="103">
        <f t="shared" si="0"/>
        <v>2</v>
      </c>
      <c r="D22" s="94" t="s">
        <v>122</v>
      </c>
      <c r="E22" s="94" t="s">
        <v>122</v>
      </c>
      <c r="F22" s="54" t="str">
        <f>'1.2'!F22</f>
        <v>124-ЗТО</v>
      </c>
      <c r="G22" s="53">
        <f>'1.1'!H22</f>
        <v>44548</v>
      </c>
      <c r="H22" s="104" t="s">
        <v>162</v>
      </c>
      <c r="I22" s="54" t="s">
        <v>112</v>
      </c>
    </row>
    <row r="23" spans="1:17" ht="16" customHeight="1">
      <c r="A23" s="228" t="s">
        <v>17</v>
      </c>
      <c r="B23" s="54" t="s">
        <v>103</v>
      </c>
      <c r="C23" s="103">
        <f t="shared" si="0"/>
        <v>0</v>
      </c>
      <c r="D23" s="94" t="s">
        <v>123</v>
      </c>
      <c r="E23" s="94" t="s">
        <v>123</v>
      </c>
      <c r="F23" s="54" t="str">
        <f>'1.2'!F23</f>
        <v>88-з</v>
      </c>
      <c r="G23" s="53">
        <f>'1.1'!H23</f>
        <v>44545</v>
      </c>
      <c r="H23" s="104" t="s">
        <v>123</v>
      </c>
      <c r="I23" s="54" t="s">
        <v>483</v>
      </c>
    </row>
    <row r="24" spans="1:17" ht="16" customHeight="1">
      <c r="A24" s="228" t="s">
        <v>422</v>
      </c>
      <c r="B24" s="54" t="s">
        <v>103</v>
      </c>
      <c r="C24" s="103">
        <f t="shared" si="0"/>
        <v>0</v>
      </c>
      <c r="D24" s="94" t="s">
        <v>123</v>
      </c>
      <c r="E24" s="94" t="s">
        <v>123</v>
      </c>
      <c r="F24" s="54" t="str">
        <f>'1.2'!F24</f>
        <v>33</v>
      </c>
      <c r="G24" s="53">
        <f>'1.1'!H24</f>
        <v>44524</v>
      </c>
      <c r="H24" s="104" t="s">
        <v>123</v>
      </c>
      <c r="I24" s="54" t="s">
        <v>483</v>
      </c>
    </row>
    <row r="25" spans="1:17" ht="16" customHeight="1">
      <c r="A25" s="227" t="s">
        <v>18</v>
      </c>
      <c r="B25" s="100"/>
      <c r="C25" s="47"/>
      <c r="D25" s="105"/>
      <c r="E25" s="105"/>
      <c r="F25" s="105"/>
      <c r="G25" s="60"/>
      <c r="H25" s="100"/>
      <c r="I25" s="106"/>
    </row>
    <row r="26" spans="1:17" ht="16" customHeight="1">
      <c r="A26" s="228" t="s">
        <v>19</v>
      </c>
      <c r="B26" s="54" t="s">
        <v>94</v>
      </c>
      <c r="C26" s="103">
        <f t="shared" ref="C26:C36" si="1">IF(B26="Да, содержится",2,0)</f>
        <v>2</v>
      </c>
      <c r="D26" s="94" t="s">
        <v>122</v>
      </c>
      <c r="E26" s="94" t="s">
        <v>122</v>
      </c>
      <c r="F26" s="54" t="str">
        <f>'1.2'!F26</f>
        <v>2656-ЗРК</v>
      </c>
      <c r="G26" s="53">
        <f>'1.1'!H26</f>
        <v>44545</v>
      </c>
      <c r="H26" s="104" t="s">
        <v>148</v>
      </c>
      <c r="I26" s="54" t="s">
        <v>112</v>
      </c>
    </row>
    <row r="27" spans="1:17" ht="16" customHeight="1">
      <c r="A27" s="228" t="s">
        <v>20</v>
      </c>
      <c r="B27" s="54" t="s">
        <v>103</v>
      </c>
      <c r="C27" s="103">
        <f t="shared" si="1"/>
        <v>0</v>
      </c>
      <c r="D27" s="94" t="s">
        <v>123</v>
      </c>
      <c r="E27" s="94" t="s">
        <v>123</v>
      </c>
      <c r="F27" s="54" t="str">
        <f>'1.2'!F27</f>
        <v>136-РЗ</v>
      </c>
      <c r="G27" s="53">
        <f>'1.1'!H27</f>
        <v>44537</v>
      </c>
      <c r="H27" s="104" t="s">
        <v>123</v>
      </c>
      <c r="I27" s="54" t="s">
        <v>483</v>
      </c>
    </row>
    <row r="28" spans="1:17" ht="16" customHeight="1">
      <c r="A28" s="228" t="s">
        <v>21</v>
      </c>
      <c r="B28" s="54" t="s">
        <v>94</v>
      </c>
      <c r="C28" s="103">
        <f t="shared" si="1"/>
        <v>2</v>
      </c>
      <c r="D28" s="94" t="s">
        <v>122</v>
      </c>
      <c r="E28" s="94" t="s">
        <v>122</v>
      </c>
      <c r="F28" s="54" t="str">
        <f>'1.2'!F28</f>
        <v>522-31-ОЗ</v>
      </c>
      <c r="G28" s="53">
        <f>'1.1'!H28</f>
        <v>44552</v>
      </c>
      <c r="H28" s="104">
        <v>5</v>
      </c>
      <c r="I28" s="54" t="s">
        <v>112</v>
      </c>
    </row>
    <row r="29" spans="1:17" ht="16" customHeight="1">
      <c r="A29" s="228" t="s">
        <v>22</v>
      </c>
      <c r="B29" s="54" t="s">
        <v>94</v>
      </c>
      <c r="C29" s="103">
        <f t="shared" si="1"/>
        <v>2</v>
      </c>
      <c r="D29" s="94" t="s">
        <v>122</v>
      </c>
      <c r="E29" s="94" t="s">
        <v>122</v>
      </c>
      <c r="F29" s="54" t="str">
        <f>'1.2'!F29</f>
        <v>5035-ОЗ</v>
      </c>
      <c r="G29" s="53">
        <f>'1.1'!H29</f>
        <v>44546</v>
      </c>
      <c r="H29" s="104">
        <v>7</v>
      </c>
      <c r="I29" s="54" t="s">
        <v>112</v>
      </c>
    </row>
    <row r="30" spans="1:17" ht="16" customHeight="1">
      <c r="A30" s="228" t="s">
        <v>23</v>
      </c>
      <c r="B30" s="54" t="s">
        <v>103</v>
      </c>
      <c r="C30" s="103">
        <f t="shared" si="1"/>
        <v>0</v>
      </c>
      <c r="D30" s="94" t="s">
        <v>123</v>
      </c>
      <c r="E30" s="94" t="s">
        <v>123</v>
      </c>
      <c r="F30" s="54">
        <f>'1.2'!F30</f>
        <v>27</v>
      </c>
      <c r="G30" s="53">
        <f>'1.1'!H30</f>
        <v>44536</v>
      </c>
      <c r="H30" s="94" t="s">
        <v>123</v>
      </c>
      <c r="I30" s="54" t="s">
        <v>483</v>
      </c>
    </row>
    <row r="31" spans="1:17" ht="16" customHeight="1">
      <c r="A31" s="228" t="s">
        <v>24</v>
      </c>
      <c r="B31" s="54" t="s">
        <v>94</v>
      </c>
      <c r="C31" s="103">
        <f t="shared" si="1"/>
        <v>2</v>
      </c>
      <c r="D31" s="94" t="s">
        <v>122</v>
      </c>
      <c r="E31" s="94" t="s">
        <v>122</v>
      </c>
      <c r="F31" s="54" t="str">
        <f>'1.2'!F31</f>
        <v>148-оз</v>
      </c>
      <c r="G31" s="53">
        <f>'1.1'!H31</f>
        <v>44551</v>
      </c>
      <c r="H31" s="104">
        <v>7</v>
      </c>
      <c r="I31" s="54" t="s">
        <v>112</v>
      </c>
    </row>
    <row r="32" spans="1:17" ht="16" customHeight="1">
      <c r="A32" s="228" t="s">
        <v>25</v>
      </c>
      <c r="B32" s="54" t="s">
        <v>94</v>
      </c>
      <c r="C32" s="103">
        <f t="shared" si="1"/>
        <v>2</v>
      </c>
      <c r="D32" s="94" t="s">
        <v>122</v>
      </c>
      <c r="E32" s="94" t="s">
        <v>122</v>
      </c>
      <c r="F32" s="54" t="str">
        <f>'1.2'!F32</f>
        <v xml:space="preserve"> 2712-01-ЗМО</v>
      </c>
      <c r="G32" s="53">
        <f>'1.1'!H32</f>
        <v>44546</v>
      </c>
      <c r="H32" s="104" t="s">
        <v>219</v>
      </c>
      <c r="I32" s="54" t="s">
        <v>112</v>
      </c>
      <c r="O32" s="35"/>
      <c r="P32" s="35"/>
      <c r="Q32" s="35"/>
    </row>
    <row r="33" spans="1:9" ht="16" customHeight="1">
      <c r="A33" s="228" t="s">
        <v>26</v>
      </c>
      <c r="B33" s="54" t="s">
        <v>94</v>
      </c>
      <c r="C33" s="103">
        <f t="shared" si="1"/>
        <v>2</v>
      </c>
      <c r="D33" s="94" t="s">
        <v>122</v>
      </c>
      <c r="E33" s="94" t="s">
        <v>122</v>
      </c>
      <c r="F33" s="54" t="str">
        <f>'1.2'!F33</f>
        <v>48-ОЗ</v>
      </c>
      <c r="G33" s="53">
        <f>'1.1'!H33</f>
        <v>44552</v>
      </c>
      <c r="H33" s="104">
        <v>9</v>
      </c>
      <c r="I33" s="54" t="s">
        <v>112</v>
      </c>
    </row>
    <row r="34" spans="1:9" ht="16" customHeight="1">
      <c r="A34" s="228" t="s">
        <v>27</v>
      </c>
      <c r="B34" s="54" t="s">
        <v>94</v>
      </c>
      <c r="C34" s="103">
        <f t="shared" si="1"/>
        <v>2</v>
      </c>
      <c r="D34" s="94" t="s">
        <v>122</v>
      </c>
      <c r="E34" s="94" t="s">
        <v>122</v>
      </c>
      <c r="F34" s="54" t="str">
        <f>'1.2'!F34</f>
        <v>2233-ОЗ</v>
      </c>
      <c r="G34" s="53">
        <f>'1.1'!H34</f>
        <v>44559</v>
      </c>
      <c r="H34" s="104">
        <v>6</v>
      </c>
      <c r="I34" s="54" t="s">
        <v>112</v>
      </c>
    </row>
    <row r="35" spans="1:9" ht="16" customHeight="1">
      <c r="A35" s="228" t="s">
        <v>680</v>
      </c>
      <c r="B35" s="54" t="s">
        <v>94</v>
      </c>
      <c r="C35" s="103">
        <f t="shared" si="1"/>
        <v>2</v>
      </c>
      <c r="D35" s="94" t="s">
        <v>122</v>
      </c>
      <c r="E35" s="94" t="s">
        <v>122</v>
      </c>
      <c r="F35" s="54" t="str">
        <f>'1.2'!F35</f>
        <v>558-119</v>
      </c>
      <c r="G35" s="53">
        <f>'1.1'!H35</f>
        <v>44525</v>
      </c>
      <c r="H35" s="104">
        <v>3</v>
      </c>
      <c r="I35" s="54" t="s">
        <v>112</v>
      </c>
    </row>
    <row r="36" spans="1:9" ht="16" customHeight="1">
      <c r="A36" s="228" t="s">
        <v>28</v>
      </c>
      <c r="B36" s="54" t="s">
        <v>94</v>
      </c>
      <c r="C36" s="103">
        <f t="shared" si="1"/>
        <v>2</v>
      </c>
      <c r="D36" s="94" t="s">
        <v>122</v>
      </c>
      <c r="E36" s="94" t="s">
        <v>122</v>
      </c>
      <c r="F36" s="54" t="str">
        <f>'1.2'!F36</f>
        <v>303-ОЗ</v>
      </c>
      <c r="G36" s="53">
        <f>'1.1'!H36</f>
        <v>44553</v>
      </c>
      <c r="H36" s="104">
        <v>6</v>
      </c>
      <c r="I36" s="54" t="s">
        <v>112</v>
      </c>
    </row>
    <row r="37" spans="1:9" ht="16" customHeight="1">
      <c r="A37" s="227" t="s">
        <v>29</v>
      </c>
      <c r="B37" s="100"/>
      <c r="C37" s="47"/>
      <c r="D37" s="105"/>
      <c r="E37" s="105"/>
      <c r="F37" s="105"/>
      <c r="G37" s="60"/>
      <c r="H37" s="100"/>
      <c r="I37" s="106"/>
    </row>
    <row r="38" spans="1:9" ht="16" customHeight="1">
      <c r="A38" s="228" t="s">
        <v>30</v>
      </c>
      <c r="B38" s="54" t="s">
        <v>94</v>
      </c>
      <c r="C38" s="103">
        <f t="shared" ref="C38:C45" si="2">IF(B38="Да, содержится",2,0)</f>
        <v>2</v>
      </c>
      <c r="D38" s="94" t="s">
        <v>122</v>
      </c>
      <c r="E38" s="94" t="s">
        <v>122</v>
      </c>
      <c r="F38" s="54">
        <f>'1.2'!F38</f>
        <v>22</v>
      </c>
      <c r="G38" s="53">
        <f>'1.1'!H38</f>
        <v>44540</v>
      </c>
      <c r="H38" s="104" t="s">
        <v>156</v>
      </c>
      <c r="I38" s="54" t="s">
        <v>112</v>
      </c>
    </row>
    <row r="39" spans="1:9" ht="16" customHeight="1">
      <c r="A39" s="228" t="s">
        <v>31</v>
      </c>
      <c r="B39" s="54" t="s">
        <v>94</v>
      </c>
      <c r="C39" s="103">
        <f t="shared" si="2"/>
        <v>2</v>
      </c>
      <c r="D39" s="94" t="s">
        <v>122</v>
      </c>
      <c r="E39" s="94" t="s">
        <v>122</v>
      </c>
      <c r="F39" s="54" t="str">
        <f>'1.2'!F39</f>
        <v>193-VI-З</v>
      </c>
      <c r="G39" s="53">
        <f>'1.1'!H39</f>
        <v>44544</v>
      </c>
      <c r="H39" s="104">
        <v>6</v>
      </c>
      <c r="I39" s="54" t="s">
        <v>112</v>
      </c>
    </row>
    <row r="40" spans="1:9" ht="16" customHeight="1">
      <c r="A40" s="228" t="s">
        <v>89</v>
      </c>
      <c r="B40" s="54" t="s">
        <v>94</v>
      </c>
      <c r="C40" s="103">
        <f t="shared" si="2"/>
        <v>2</v>
      </c>
      <c r="D40" s="94" t="s">
        <v>122</v>
      </c>
      <c r="E40" s="94" t="s">
        <v>122</v>
      </c>
      <c r="F40" s="54" t="str">
        <f>'1.2'!F40</f>
        <v>242-ЗРК/2021</v>
      </c>
      <c r="G40" s="53">
        <f>'1.1'!H40</f>
        <v>44539</v>
      </c>
      <c r="H40" s="104" t="s">
        <v>169</v>
      </c>
      <c r="I40" s="54" t="s">
        <v>112</v>
      </c>
    </row>
    <row r="41" spans="1:9" ht="16" customHeight="1">
      <c r="A41" s="228" t="s">
        <v>32</v>
      </c>
      <c r="B41" s="54" t="s">
        <v>94</v>
      </c>
      <c r="C41" s="103">
        <f t="shared" si="2"/>
        <v>2</v>
      </c>
      <c r="D41" s="94" t="s">
        <v>122</v>
      </c>
      <c r="E41" s="94" t="s">
        <v>122</v>
      </c>
      <c r="F41" s="54" t="str">
        <f>'1.2'!F41</f>
        <v>4616-КЗ</v>
      </c>
      <c r="G41" s="53">
        <f>'1.1'!H41</f>
        <v>44552</v>
      </c>
      <c r="H41" s="104">
        <v>6</v>
      </c>
      <c r="I41" s="54" t="s">
        <v>112</v>
      </c>
    </row>
    <row r="42" spans="1:9" ht="16" customHeight="1">
      <c r="A42" s="228" t="s">
        <v>33</v>
      </c>
      <c r="B42" s="54" t="s">
        <v>94</v>
      </c>
      <c r="C42" s="103">
        <f t="shared" si="2"/>
        <v>2</v>
      </c>
      <c r="D42" s="94" t="s">
        <v>122</v>
      </c>
      <c r="E42" s="94" t="s">
        <v>122</v>
      </c>
      <c r="F42" s="54" t="str">
        <f>'1.2'!F42</f>
        <v>128/2021-ОЗ</v>
      </c>
      <c r="G42" s="53">
        <f>'1.1'!H42</f>
        <v>44547</v>
      </c>
      <c r="H42" s="104" t="s">
        <v>156</v>
      </c>
      <c r="I42" s="54" t="s">
        <v>112</v>
      </c>
    </row>
    <row r="43" spans="1:9" ht="16" customHeight="1">
      <c r="A43" s="228" t="s">
        <v>34</v>
      </c>
      <c r="B43" s="54" t="s">
        <v>94</v>
      </c>
      <c r="C43" s="103">
        <f t="shared" si="2"/>
        <v>2</v>
      </c>
      <c r="D43" s="94" t="s">
        <v>122</v>
      </c>
      <c r="E43" s="94" t="s">
        <v>122</v>
      </c>
      <c r="F43" s="54" t="str">
        <f>'1.2'!F43</f>
        <v>124-ОД</v>
      </c>
      <c r="G43" s="53">
        <f>'1.1'!H43</f>
        <v>44538</v>
      </c>
      <c r="H43" s="104">
        <v>5</v>
      </c>
      <c r="I43" s="54" t="s">
        <v>112</v>
      </c>
    </row>
    <row r="44" spans="1:9" ht="16" customHeight="1">
      <c r="A44" s="228" t="s">
        <v>35</v>
      </c>
      <c r="B44" s="54" t="s">
        <v>94</v>
      </c>
      <c r="C44" s="103">
        <f t="shared" si="2"/>
        <v>2</v>
      </c>
      <c r="D44" s="94" t="s">
        <v>122</v>
      </c>
      <c r="E44" s="94" t="s">
        <v>122</v>
      </c>
      <c r="F44" s="54" t="str">
        <f>'1.2'!F44</f>
        <v>635-ЗС</v>
      </c>
      <c r="G44" s="53">
        <f>'1.1'!H44</f>
        <v>44546</v>
      </c>
      <c r="H44" s="104">
        <v>6</v>
      </c>
      <c r="I44" s="54" t="s">
        <v>112</v>
      </c>
    </row>
    <row r="45" spans="1:9" ht="16" customHeight="1">
      <c r="A45" s="228" t="s">
        <v>423</v>
      </c>
      <c r="B45" s="54" t="s">
        <v>94</v>
      </c>
      <c r="C45" s="103">
        <f t="shared" si="2"/>
        <v>2</v>
      </c>
      <c r="D45" s="94" t="s">
        <v>122</v>
      </c>
      <c r="E45" s="94" t="s">
        <v>122</v>
      </c>
      <c r="F45" s="54" t="str">
        <f>'1.2'!F45</f>
        <v>681-ЗС</v>
      </c>
      <c r="G45" s="53">
        <f>'1.1'!H45</f>
        <v>44553</v>
      </c>
      <c r="H45" s="104" t="s">
        <v>146</v>
      </c>
      <c r="I45" s="54" t="s">
        <v>112</v>
      </c>
    </row>
    <row r="46" spans="1:9" ht="16" customHeight="1">
      <c r="A46" s="227" t="s">
        <v>36</v>
      </c>
      <c r="B46" s="100"/>
      <c r="C46" s="47"/>
      <c r="D46" s="105"/>
      <c r="E46" s="105"/>
      <c r="F46" s="105"/>
      <c r="G46" s="60"/>
      <c r="H46" s="100"/>
      <c r="I46" s="106"/>
    </row>
    <row r="47" spans="1:9" ht="16" customHeight="1">
      <c r="A47" s="228" t="s">
        <v>37</v>
      </c>
      <c r="B47" s="54" t="s">
        <v>94</v>
      </c>
      <c r="C47" s="103">
        <f t="shared" ref="C47:C53" si="3">IF(B47="Да, содержится",2,0)</f>
        <v>2</v>
      </c>
      <c r="D47" s="94" t="s">
        <v>122</v>
      </c>
      <c r="E47" s="94" t="s">
        <v>122</v>
      </c>
      <c r="F47" s="54">
        <f>'1.2'!F47</f>
        <v>91</v>
      </c>
      <c r="G47" s="53">
        <f>'1.1'!H47</f>
        <v>44559</v>
      </c>
      <c r="H47" s="104" t="s">
        <v>155</v>
      </c>
      <c r="I47" s="54" t="s">
        <v>112</v>
      </c>
    </row>
    <row r="48" spans="1:9" ht="16" customHeight="1">
      <c r="A48" s="228" t="s">
        <v>38</v>
      </c>
      <c r="B48" s="54" t="s">
        <v>94</v>
      </c>
      <c r="C48" s="103">
        <f t="shared" si="3"/>
        <v>2</v>
      </c>
      <c r="D48" s="94" t="s">
        <v>122</v>
      </c>
      <c r="E48" s="94" t="s">
        <v>122</v>
      </c>
      <c r="F48" s="54" t="str">
        <f>'1.2'!F48</f>
        <v>56-РЗ</v>
      </c>
      <c r="G48" s="53">
        <f>'1.1'!H48</f>
        <v>44554</v>
      </c>
      <c r="H48" s="104" t="s">
        <v>161</v>
      </c>
      <c r="I48" s="54" t="s">
        <v>112</v>
      </c>
    </row>
    <row r="49" spans="1:122" ht="16" customHeight="1">
      <c r="A49" s="228" t="s">
        <v>39</v>
      </c>
      <c r="B49" s="54" t="s">
        <v>94</v>
      </c>
      <c r="C49" s="103">
        <f t="shared" si="3"/>
        <v>2</v>
      </c>
      <c r="D49" s="94" t="s">
        <v>122</v>
      </c>
      <c r="E49" s="94" t="s">
        <v>122</v>
      </c>
      <c r="F49" s="54" t="str">
        <f>'1.2'!F49</f>
        <v>50-РЗ</v>
      </c>
      <c r="G49" s="53">
        <f>'1.1'!H49</f>
        <v>44558</v>
      </c>
      <c r="H49" s="104">
        <v>10</v>
      </c>
      <c r="I49" s="54" t="s">
        <v>112</v>
      </c>
    </row>
    <row r="50" spans="1:122" ht="16" customHeight="1">
      <c r="A50" s="228" t="s">
        <v>40</v>
      </c>
      <c r="B50" s="54" t="s">
        <v>94</v>
      </c>
      <c r="C50" s="103">
        <f t="shared" si="3"/>
        <v>2</v>
      </c>
      <c r="D50" s="94" t="s">
        <v>122</v>
      </c>
      <c r="E50" s="94" t="s">
        <v>122</v>
      </c>
      <c r="F50" s="54" t="str">
        <f>'1.2'!F50</f>
        <v>112-РЗ</v>
      </c>
      <c r="G50" s="53">
        <f>'1.1'!H50</f>
        <v>44558</v>
      </c>
      <c r="H50" s="104">
        <v>7</v>
      </c>
      <c r="I50" s="54" t="s">
        <v>112</v>
      </c>
    </row>
    <row r="51" spans="1:122" ht="16" customHeight="1">
      <c r="A51" s="228" t="s">
        <v>681</v>
      </c>
      <c r="B51" s="54" t="s">
        <v>94</v>
      </c>
      <c r="C51" s="103">
        <f t="shared" si="3"/>
        <v>2</v>
      </c>
      <c r="D51" s="94" t="s">
        <v>122</v>
      </c>
      <c r="E51" s="94" t="s">
        <v>122</v>
      </c>
      <c r="F51" s="54" t="str">
        <f>'1.2'!F51</f>
        <v>117-РЗ</v>
      </c>
      <c r="G51" s="53">
        <f>'1.1'!H51</f>
        <v>44554</v>
      </c>
      <c r="H51" s="104">
        <v>8</v>
      </c>
      <c r="I51" s="54" t="s">
        <v>112</v>
      </c>
    </row>
    <row r="52" spans="1:122" ht="16" customHeight="1">
      <c r="A52" s="228" t="s">
        <v>41</v>
      </c>
      <c r="B52" s="54" t="s">
        <v>94</v>
      </c>
      <c r="C52" s="103">
        <f t="shared" si="3"/>
        <v>2</v>
      </c>
      <c r="D52" s="94" t="s">
        <v>122</v>
      </c>
      <c r="E52" s="94" t="s">
        <v>122</v>
      </c>
      <c r="F52" s="54" t="str">
        <f>'1.2'!F52</f>
        <v>65-РЗ</v>
      </c>
      <c r="G52" s="53">
        <f>'1.1'!H52</f>
        <v>44551</v>
      </c>
      <c r="H52" s="104" t="s">
        <v>162</v>
      </c>
      <c r="I52" s="54" t="s">
        <v>112</v>
      </c>
    </row>
    <row r="53" spans="1:122" ht="16" customHeight="1">
      <c r="A53" s="228" t="s">
        <v>42</v>
      </c>
      <c r="B53" s="54" t="s">
        <v>94</v>
      </c>
      <c r="C53" s="103">
        <f t="shared" si="3"/>
        <v>2</v>
      </c>
      <c r="D53" s="94" t="s">
        <v>122</v>
      </c>
      <c r="E53" s="94" t="s">
        <v>122</v>
      </c>
      <c r="F53" s="54" t="str">
        <f>'1.2'!F53</f>
        <v>119-кз</v>
      </c>
      <c r="G53" s="53">
        <f>'1.1'!H53</f>
        <v>44537</v>
      </c>
      <c r="H53" s="54" t="s">
        <v>163</v>
      </c>
      <c r="I53" s="54" t="s">
        <v>112</v>
      </c>
    </row>
    <row r="54" spans="1:122" ht="16" customHeight="1">
      <c r="A54" s="227" t="s">
        <v>43</v>
      </c>
      <c r="B54" s="100"/>
      <c r="C54" s="47"/>
      <c r="D54" s="105"/>
      <c r="E54" s="105"/>
      <c r="F54" s="105"/>
      <c r="G54" s="60"/>
      <c r="H54" s="100"/>
      <c r="I54" s="106"/>
    </row>
    <row r="55" spans="1:122" ht="16" customHeight="1">
      <c r="A55" s="228" t="s">
        <v>44</v>
      </c>
      <c r="B55" s="54" t="s">
        <v>94</v>
      </c>
      <c r="C55" s="103">
        <f t="shared" ref="C55:C61" si="4">IF(B55="Да, содержится",2,0)</f>
        <v>2</v>
      </c>
      <c r="D55" s="94" t="s">
        <v>122</v>
      </c>
      <c r="E55" s="94" t="s">
        <v>122</v>
      </c>
      <c r="F55" s="54" t="str">
        <f>'1.2'!F55</f>
        <v>486-з</v>
      </c>
      <c r="G55" s="53">
        <f>'1.1'!H55</f>
        <v>44550</v>
      </c>
      <c r="H55" s="104" t="s">
        <v>153</v>
      </c>
      <c r="I55" s="54" t="s">
        <v>112</v>
      </c>
    </row>
    <row r="56" spans="1:122" s="33" customFormat="1" ht="16" customHeight="1">
      <c r="A56" s="228" t="s">
        <v>682</v>
      </c>
      <c r="B56" s="54" t="s">
        <v>94</v>
      </c>
      <c r="C56" s="103">
        <f t="shared" si="4"/>
        <v>2</v>
      </c>
      <c r="D56" s="94" t="s">
        <v>122</v>
      </c>
      <c r="E56" s="94" t="s">
        <v>122</v>
      </c>
      <c r="F56" s="54" t="str">
        <f>'1.2'!F56</f>
        <v xml:space="preserve"> 56-З </v>
      </c>
      <c r="G56" s="53">
        <f>'1.1'!H56</f>
        <v>44533</v>
      </c>
      <c r="H56" s="104">
        <v>6</v>
      </c>
      <c r="I56" s="54" t="s">
        <v>112</v>
      </c>
      <c r="J56" s="81"/>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row>
    <row r="57" spans="1:122" s="33" customFormat="1" ht="16" customHeight="1">
      <c r="A57" s="228" t="s">
        <v>45</v>
      </c>
      <c r="B57" s="54" t="s">
        <v>94</v>
      </c>
      <c r="C57" s="103">
        <f t="shared" si="4"/>
        <v>2</v>
      </c>
      <c r="D57" s="94" t="s">
        <v>122</v>
      </c>
      <c r="E57" s="94" t="s">
        <v>122</v>
      </c>
      <c r="F57" s="54" t="str">
        <f>'1.2'!F57</f>
        <v>87-З</v>
      </c>
      <c r="G57" s="53">
        <f>'1.1'!H57</f>
        <v>44557</v>
      </c>
      <c r="H57" s="104">
        <v>4</v>
      </c>
      <c r="I57" s="54" t="s">
        <v>112</v>
      </c>
      <c r="J57" s="81"/>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row>
    <row r="58" spans="1:122" s="33" customFormat="1" ht="16" customHeight="1">
      <c r="A58" s="228" t="s">
        <v>46</v>
      </c>
      <c r="B58" s="54" t="s">
        <v>94</v>
      </c>
      <c r="C58" s="103">
        <f t="shared" si="4"/>
        <v>2</v>
      </c>
      <c r="D58" s="94" t="s">
        <v>122</v>
      </c>
      <c r="E58" s="94" t="s">
        <v>122</v>
      </c>
      <c r="F58" s="54" t="str">
        <f>'1.2'!F58</f>
        <v>86-ЗРТ</v>
      </c>
      <c r="G58" s="53">
        <f>'1.1'!H58</f>
        <v>44525</v>
      </c>
      <c r="H58" s="104">
        <v>7</v>
      </c>
      <c r="I58" s="54" t="s">
        <v>112</v>
      </c>
      <c r="J58" s="81"/>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row>
    <row r="59" spans="1:122" ht="16" customHeight="1">
      <c r="A59" s="228" t="s">
        <v>47</v>
      </c>
      <c r="B59" s="54" t="s">
        <v>94</v>
      </c>
      <c r="C59" s="103">
        <f t="shared" si="4"/>
        <v>2</v>
      </c>
      <c r="D59" s="94" t="s">
        <v>122</v>
      </c>
      <c r="E59" s="94" t="s">
        <v>122</v>
      </c>
      <c r="F59" s="54" t="str">
        <f>'1.2'!F59</f>
        <v>140-РЗ</v>
      </c>
      <c r="G59" s="53">
        <f>'1.1'!H59</f>
        <v>44557</v>
      </c>
      <c r="H59" s="104">
        <v>8</v>
      </c>
      <c r="I59" s="54" t="s">
        <v>112</v>
      </c>
    </row>
    <row r="60" spans="1:122" ht="16" customHeight="1">
      <c r="A60" s="228" t="s">
        <v>683</v>
      </c>
      <c r="B60" s="54" t="s">
        <v>94</v>
      </c>
      <c r="C60" s="103">
        <f t="shared" si="4"/>
        <v>2</v>
      </c>
      <c r="D60" s="94" t="s">
        <v>122</v>
      </c>
      <c r="E60" s="94" t="s">
        <v>122</v>
      </c>
      <c r="F60" s="54">
        <f>'1.2'!F60</f>
        <v>86</v>
      </c>
      <c r="G60" s="53">
        <f>'1.1'!H60</f>
        <v>44525</v>
      </c>
      <c r="H60" s="104" t="s">
        <v>149</v>
      </c>
      <c r="I60" s="54" t="s">
        <v>112</v>
      </c>
    </row>
    <row r="61" spans="1:122" s="33" customFormat="1" ht="16" customHeight="1">
      <c r="A61" s="228" t="s">
        <v>48</v>
      </c>
      <c r="B61" s="54" t="s">
        <v>103</v>
      </c>
      <c r="C61" s="103">
        <f t="shared" si="4"/>
        <v>0</v>
      </c>
      <c r="D61" s="94" t="s">
        <v>123</v>
      </c>
      <c r="E61" s="94" t="s">
        <v>123</v>
      </c>
      <c r="F61" s="54" t="str">
        <f>'1.2'!F61</f>
        <v>15-ПК</v>
      </c>
      <c r="G61" s="53">
        <f>'1.1'!H61</f>
        <v>44540</v>
      </c>
      <c r="H61" s="104" t="s">
        <v>123</v>
      </c>
      <c r="I61" s="54" t="s">
        <v>483</v>
      </c>
      <c r="J61" s="8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row>
    <row r="62" spans="1:122" s="33" customFormat="1" ht="16" customHeight="1">
      <c r="A62" s="228" t="s">
        <v>49</v>
      </c>
      <c r="B62" s="54" t="s">
        <v>94</v>
      </c>
      <c r="C62" s="103">
        <f t="shared" ref="C62:C68" si="5">IF(B62="Да, содержится",2,0)</f>
        <v>2</v>
      </c>
      <c r="D62" s="94" t="s">
        <v>122</v>
      </c>
      <c r="E62" s="94" t="s">
        <v>122</v>
      </c>
      <c r="F62" s="54" t="str">
        <f>'1.2'!F62</f>
        <v xml:space="preserve"> 25-ЗО</v>
      </c>
      <c r="G62" s="53">
        <f>'1.1'!H62</f>
        <v>44551</v>
      </c>
      <c r="H62" s="104" t="s">
        <v>162</v>
      </c>
      <c r="I62" s="54" t="s">
        <v>112</v>
      </c>
      <c r="J62" s="81"/>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row>
    <row r="63" spans="1:122" s="33" customFormat="1" ht="16" customHeight="1">
      <c r="A63" s="228" t="s">
        <v>684</v>
      </c>
      <c r="B63" s="54" t="s">
        <v>94</v>
      </c>
      <c r="C63" s="103">
        <f t="shared" si="5"/>
        <v>2</v>
      </c>
      <c r="D63" s="94" t="s">
        <v>122</v>
      </c>
      <c r="E63" s="94" t="s">
        <v>122</v>
      </c>
      <c r="F63" s="54" t="str">
        <f>'1.2'!F63</f>
        <v>151-З</v>
      </c>
      <c r="G63" s="53">
        <f>'1.1'!H63</f>
        <v>44553</v>
      </c>
      <c r="H63" s="104">
        <v>9</v>
      </c>
      <c r="I63" s="54" t="s">
        <v>112</v>
      </c>
      <c r="J63" s="81"/>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row>
    <row r="64" spans="1:122" s="33" customFormat="1" ht="16" customHeight="1">
      <c r="A64" s="228" t="s">
        <v>51</v>
      </c>
      <c r="B64" s="54" t="s">
        <v>94</v>
      </c>
      <c r="C64" s="103">
        <f t="shared" si="5"/>
        <v>2</v>
      </c>
      <c r="D64" s="94" t="s">
        <v>122</v>
      </c>
      <c r="E64" s="94" t="s">
        <v>122</v>
      </c>
      <c r="F64" s="54" t="str">
        <f>'1.2'!F64</f>
        <v>154/56-VII-ОЗ</v>
      </c>
      <c r="G64" s="53">
        <f>'1.1'!H64</f>
        <v>44546</v>
      </c>
      <c r="H64" s="104">
        <v>2</v>
      </c>
      <c r="I64" s="54" t="s">
        <v>112</v>
      </c>
      <c r="J64" s="81"/>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row>
    <row r="65" spans="1:122" ht="16" customHeight="1">
      <c r="A65" s="228" t="s">
        <v>52</v>
      </c>
      <c r="B65" s="54" t="s">
        <v>94</v>
      </c>
      <c r="C65" s="103">
        <f t="shared" si="5"/>
        <v>2</v>
      </c>
      <c r="D65" s="94" t="s">
        <v>122</v>
      </c>
      <c r="E65" s="94" t="s">
        <v>122</v>
      </c>
      <c r="F65" s="54" t="str">
        <f>'1.2'!F65</f>
        <v>3775-ЗПО </v>
      </c>
      <c r="G65" s="53">
        <f>'1.1'!H65</f>
        <v>44550</v>
      </c>
      <c r="H65" s="104">
        <v>6</v>
      </c>
      <c r="I65" s="54" t="s">
        <v>112</v>
      </c>
    </row>
    <row r="66" spans="1:122" s="33" customFormat="1" ht="16" customHeight="1">
      <c r="A66" s="228" t="s">
        <v>53</v>
      </c>
      <c r="B66" s="54" t="s">
        <v>103</v>
      </c>
      <c r="C66" s="103">
        <f t="shared" si="5"/>
        <v>0</v>
      </c>
      <c r="D66" s="94" t="s">
        <v>123</v>
      </c>
      <c r="E66" s="94" t="s">
        <v>123</v>
      </c>
      <c r="F66" s="54" t="str">
        <f>'1.2'!F66</f>
        <v>95-ГД</v>
      </c>
      <c r="G66" s="53">
        <f>'1.1'!H66</f>
        <v>44531</v>
      </c>
      <c r="H66" s="104" t="s">
        <v>123</v>
      </c>
      <c r="I66" s="54" t="s">
        <v>483</v>
      </c>
      <c r="J66" s="81"/>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row>
    <row r="67" spans="1:122" s="33" customFormat="1" ht="16" customHeight="1">
      <c r="A67" s="228" t="s">
        <v>54</v>
      </c>
      <c r="B67" s="54" t="s">
        <v>94</v>
      </c>
      <c r="C67" s="103">
        <f t="shared" si="5"/>
        <v>2</v>
      </c>
      <c r="D67" s="94" t="s">
        <v>122</v>
      </c>
      <c r="E67" s="94" t="s">
        <v>122</v>
      </c>
      <c r="F67" s="54" t="str">
        <f>'1.2'!F67</f>
        <v>140-ЗСО</v>
      </c>
      <c r="G67" s="53">
        <f>'1.1'!H67</f>
        <v>44532</v>
      </c>
      <c r="H67" s="104">
        <v>4</v>
      </c>
      <c r="I67" s="54" t="s">
        <v>112</v>
      </c>
      <c r="J67" s="81"/>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row>
    <row r="68" spans="1:122" ht="16" customHeight="1">
      <c r="A68" s="228" t="s">
        <v>55</v>
      </c>
      <c r="B68" s="54" t="s">
        <v>94</v>
      </c>
      <c r="C68" s="103">
        <f t="shared" si="5"/>
        <v>2</v>
      </c>
      <c r="D68" s="94" t="s">
        <v>122</v>
      </c>
      <c r="E68" s="94" t="s">
        <v>122</v>
      </c>
      <c r="F68" s="54" t="str">
        <f>'1.2'!F68</f>
        <v>146-ЗО</v>
      </c>
      <c r="G68" s="53">
        <f>'1.1'!H68</f>
        <v>44538</v>
      </c>
      <c r="H68" s="104">
        <v>5</v>
      </c>
      <c r="I68" s="54" t="s">
        <v>112</v>
      </c>
    </row>
    <row r="69" spans="1:122" ht="16" customHeight="1">
      <c r="A69" s="227" t="s">
        <v>56</v>
      </c>
      <c r="B69" s="100"/>
      <c r="C69" s="47"/>
      <c r="D69" s="105"/>
      <c r="E69" s="105"/>
      <c r="F69" s="105"/>
      <c r="G69" s="60"/>
      <c r="H69" s="100"/>
      <c r="I69" s="106"/>
    </row>
    <row r="70" spans="1:122" s="33" customFormat="1" ht="16" customHeight="1">
      <c r="A70" s="228" t="s">
        <v>57</v>
      </c>
      <c r="B70" s="54" t="s">
        <v>94</v>
      </c>
      <c r="C70" s="103">
        <f t="shared" ref="C70:C75" si="6">IF(B70="Да, содержится",2,0)</f>
        <v>2</v>
      </c>
      <c r="D70" s="94" t="s">
        <v>122</v>
      </c>
      <c r="E70" s="94" t="s">
        <v>122</v>
      </c>
      <c r="F70" s="54">
        <f>'1.2'!F70</f>
        <v>165</v>
      </c>
      <c r="G70" s="53">
        <f>'1.1'!H70</f>
        <v>44559</v>
      </c>
      <c r="H70" s="104">
        <v>5</v>
      </c>
      <c r="I70" s="54" t="s">
        <v>112</v>
      </c>
      <c r="J70" s="81"/>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row>
    <row r="71" spans="1:122" ht="16" customHeight="1">
      <c r="A71" s="228" t="s">
        <v>58</v>
      </c>
      <c r="B71" s="54" t="s">
        <v>94</v>
      </c>
      <c r="C71" s="103">
        <f t="shared" si="6"/>
        <v>2</v>
      </c>
      <c r="D71" s="94" t="s">
        <v>122</v>
      </c>
      <c r="E71" s="94" t="s">
        <v>122</v>
      </c>
      <c r="F71" s="54" t="str">
        <f>'1.2'!F71</f>
        <v>111-ОЗ</v>
      </c>
      <c r="G71" s="53">
        <f>'1.1'!H71</f>
        <v>44538</v>
      </c>
      <c r="H71" s="104">
        <v>5</v>
      </c>
      <c r="I71" s="54" t="s">
        <v>112</v>
      </c>
    </row>
    <row r="72" spans="1:122" ht="16" customHeight="1">
      <c r="A72" s="228" t="s">
        <v>59</v>
      </c>
      <c r="B72" s="54" t="s">
        <v>94</v>
      </c>
      <c r="C72" s="103">
        <f t="shared" si="6"/>
        <v>2</v>
      </c>
      <c r="D72" s="94" t="s">
        <v>122</v>
      </c>
      <c r="E72" s="94" t="s">
        <v>122</v>
      </c>
      <c r="F72" s="54">
        <f>'1.2'!F72</f>
        <v>94</v>
      </c>
      <c r="G72" s="53">
        <f>'1.1'!H72</f>
        <v>44532</v>
      </c>
      <c r="H72" s="104" t="s">
        <v>155</v>
      </c>
      <c r="I72" s="54" t="s">
        <v>112</v>
      </c>
    </row>
    <row r="73" spans="1:122" s="33" customFormat="1" ht="16" customHeight="1">
      <c r="A73" s="228" t="s">
        <v>60</v>
      </c>
      <c r="B73" s="54" t="s">
        <v>94</v>
      </c>
      <c r="C73" s="103">
        <f t="shared" si="6"/>
        <v>2</v>
      </c>
      <c r="D73" s="94" t="s">
        <v>122</v>
      </c>
      <c r="E73" s="94" t="s">
        <v>122</v>
      </c>
      <c r="F73" s="54" t="str">
        <f>'1.2'!F73</f>
        <v>493-ЗО</v>
      </c>
      <c r="G73" s="53">
        <f>'1.1'!H73</f>
        <v>44553</v>
      </c>
      <c r="H73" s="104">
        <v>7</v>
      </c>
      <c r="I73" s="54" t="s">
        <v>112</v>
      </c>
      <c r="J73" s="81"/>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row>
    <row r="74" spans="1:122" s="33" customFormat="1" ht="16" customHeight="1">
      <c r="A74" s="228" t="s">
        <v>685</v>
      </c>
      <c r="B74" s="54" t="s">
        <v>94</v>
      </c>
      <c r="C74" s="103">
        <f t="shared" si="6"/>
        <v>2</v>
      </c>
      <c r="D74" s="94" t="s">
        <v>122</v>
      </c>
      <c r="E74" s="94" t="s">
        <v>122</v>
      </c>
      <c r="F74" s="54" t="str">
        <f>'1.2'!F74</f>
        <v>85-оз</v>
      </c>
      <c r="G74" s="53">
        <f>'1.1'!H74</f>
        <v>44525</v>
      </c>
      <c r="H74" s="104" t="s">
        <v>153</v>
      </c>
      <c r="I74" s="54" t="s">
        <v>112</v>
      </c>
      <c r="J74" s="81"/>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row>
    <row r="75" spans="1:122" s="33" customFormat="1" ht="16" customHeight="1">
      <c r="A75" s="228" t="s">
        <v>61</v>
      </c>
      <c r="B75" s="54" t="s">
        <v>94</v>
      </c>
      <c r="C75" s="103">
        <f t="shared" si="6"/>
        <v>2</v>
      </c>
      <c r="D75" s="94" t="s">
        <v>122</v>
      </c>
      <c r="E75" s="94" t="s">
        <v>122</v>
      </c>
      <c r="F75" s="54" t="str">
        <f>'1.2'!F75</f>
        <v>111-ЗАО</v>
      </c>
      <c r="G75" s="53">
        <f>'1.1'!H75</f>
        <v>44525</v>
      </c>
      <c r="H75" s="104">
        <v>9</v>
      </c>
      <c r="I75" s="54" t="s">
        <v>112</v>
      </c>
      <c r="J75" s="81"/>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row>
    <row r="76" spans="1:122" ht="16" customHeight="1">
      <c r="A76" s="227" t="s">
        <v>62</v>
      </c>
      <c r="B76" s="100"/>
      <c r="C76" s="47"/>
      <c r="D76" s="105"/>
      <c r="E76" s="105"/>
      <c r="F76" s="105"/>
      <c r="G76" s="60"/>
      <c r="H76" s="100"/>
      <c r="I76" s="106"/>
    </row>
    <row r="77" spans="1:122" s="33" customFormat="1" ht="16" customHeight="1">
      <c r="A77" s="228" t="s">
        <v>63</v>
      </c>
      <c r="B77" s="54" t="s">
        <v>94</v>
      </c>
      <c r="C77" s="103">
        <f t="shared" ref="C77:C86" si="7">IF(B77="Да, содержится",2,0)</f>
        <v>2</v>
      </c>
      <c r="D77" s="94" t="s">
        <v>122</v>
      </c>
      <c r="E77" s="94" t="s">
        <v>122</v>
      </c>
      <c r="F77" s="54" t="str">
        <f>'1.2'!F77</f>
        <v>87-РЗ</v>
      </c>
      <c r="G77" s="53">
        <f>'1.1'!H77</f>
        <v>44547</v>
      </c>
      <c r="H77" s="104">
        <v>17</v>
      </c>
      <c r="I77" s="54" t="s">
        <v>112</v>
      </c>
      <c r="J77" s="81"/>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row>
    <row r="78" spans="1:122" s="33" customFormat="1" ht="16" customHeight="1">
      <c r="A78" s="228" t="s">
        <v>65</v>
      </c>
      <c r="B78" s="54" t="s">
        <v>94</v>
      </c>
      <c r="C78" s="103">
        <f t="shared" si="7"/>
        <v>2</v>
      </c>
      <c r="D78" s="94" t="s">
        <v>122</v>
      </c>
      <c r="E78" s="94" t="s">
        <v>122</v>
      </c>
      <c r="F78" s="54" t="str">
        <f>'1.2'!F78</f>
        <v>787-ЗРТ</v>
      </c>
      <c r="G78" s="53">
        <f>'1.1'!H78</f>
        <v>44543</v>
      </c>
      <c r="H78" s="104" t="s">
        <v>156</v>
      </c>
      <c r="I78" s="54" t="s">
        <v>112</v>
      </c>
      <c r="J78" s="81"/>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row>
    <row r="79" spans="1:122" s="33" customFormat="1" ht="16" customHeight="1">
      <c r="A79" s="228" t="s">
        <v>66</v>
      </c>
      <c r="B79" s="54" t="s">
        <v>94</v>
      </c>
      <c r="C79" s="103">
        <f t="shared" si="7"/>
        <v>2</v>
      </c>
      <c r="D79" s="94" t="s">
        <v>122</v>
      </c>
      <c r="E79" s="94" t="s">
        <v>122</v>
      </c>
      <c r="F79" s="54" t="str">
        <f>'1.2'!F79</f>
        <v>116-ЗРХ</v>
      </c>
      <c r="G79" s="53">
        <f>'1.1'!H79</f>
        <v>44547</v>
      </c>
      <c r="H79" s="104" t="s">
        <v>155</v>
      </c>
      <c r="I79" s="54" t="s">
        <v>112</v>
      </c>
      <c r="J79" s="81"/>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row>
    <row r="80" spans="1:122" ht="16" customHeight="1">
      <c r="A80" s="228" t="s">
        <v>67</v>
      </c>
      <c r="B80" s="54" t="s">
        <v>94</v>
      </c>
      <c r="C80" s="103">
        <f t="shared" si="7"/>
        <v>2</v>
      </c>
      <c r="D80" s="94" t="s">
        <v>122</v>
      </c>
      <c r="E80" s="94" t="s">
        <v>122</v>
      </c>
      <c r="F80" s="54" t="str">
        <f>'1.2'!F80</f>
        <v>105-ЗС</v>
      </c>
      <c r="G80" s="53">
        <f>'1.1'!H80</f>
        <v>44530</v>
      </c>
      <c r="H80" s="104" t="s">
        <v>156</v>
      </c>
      <c r="I80" s="54" t="s">
        <v>112</v>
      </c>
    </row>
    <row r="81" spans="1:122" ht="16" customHeight="1">
      <c r="A81" s="228" t="s">
        <v>69</v>
      </c>
      <c r="B81" s="54" t="s">
        <v>94</v>
      </c>
      <c r="C81" s="103">
        <f t="shared" si="7"/>
        <v>2</v>
      </c>
      <c r="D81" s="94" t="s">
        <v>122</v>
      </c>
      <c r="E81" s="94" t="s">
        <v>122</v>
      </c>
      <c r="F81" s="54" t="str">
        <f>'1.2'!F81</f>
        <v>2-255</v>
      </c>
      <c r="G81" s="53">
        <f>'1.1'!H81</f>
        <v>44919</v>
      </c>
      <c r="H81" s="104">
        <v>3</v>
      </c>
      <c r="I81" s="54" t="s">
        <v>112</v>
      </c>
    </row>
    <row r="82" spans="1:122" s="33" customFormat="1" ht="16" customHeight="1">
      <c r="A82" s="228" t="s">
        <v>70</v>
      </c>
      <c r="B82" s="54" t="s">
        <v>94</v>
      </c>
      <c r="C82" s="103">
        <f t="shared" si="7"/>
        <v>2</v>
      </c>
      <c r="D82" s="94" t="s">
        <v>122</v>
      </c>
      <c r="E82" s="94" t="s">
        <v>122</v>
      </c>
      <c r="F82" s="54" t="str">
        <f>'1.2'!F82</f>
        <v>130-ОЗ</v>
      </c>
      <c r="G82" s="53">
        <f>'1.1'!H82</f>
        <v>44546</v>
      </c>
      <c r="H82" s="104" t="s">
        <v>156</v>
      </c>
      <c r="I82" s="54" t="s">
        <v>112</v>
      </c>
      <c r="J82" s="81"/>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row>
    <row r="83" spans="1:122" s="33" customFormat="1" ht="16" customHeight="1">
      <c r="A83" s="228" t="s">
        <v>686</v>
      </c>
      <c r="B83" s="54" t="s">
        <v>94</v>
      </c>
      <c r="C83" s="103">
        <f t="shared" si="7"/>
        <v>2</v>
      </c>
      <c r="D83" s="94" t="s">
        <v>122</v>
      </c>
      <c r="E83" s="94" t="s">
        <v>122</v>
      </c>
      <c r="F83" s="54" t="str">
        <f>'1.2'!F83</f>
        <v>133-ОЗ</v>
      </c>
      <c r="G83" s="53">
        <f>'1.1'!H83</f>
        <v>44545</v>
      </c>
      <c r="H83" s="104">
        <v>7</v>
      </c>
      <c r="I83" s="54" t="s">
        <v>112</v>
      </c>
      <c r="J83" s="81"/>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row>
    <row r="84" spans="1:122" ht="16" customHeight="1">
      <c r="A84" s="228" t="s">
        <v>71</v>
      </c>
      <c r="B84" s="54" t="s">
        <v>94</v>
      </c>
      <c r="C84" s="103">
        <f t="shared" si="7"/>
        <v>2</v>
      </c>
      <c r="D84" s="94" t="s">
        <v>122</v>
      </c>
      <c r="E84" s="94" t="s">
        <v>122</v>
      </c>
      <c r="F84" s="54" t="str">
        <f>'1.2'!F84</f>
        <v>167-ОЗ</v>
      </c>
      <c r="G84" s="53">
        <f>'1.1'!H84</f>
        <v>44553</v>
      </c>
      <c r="H84" s="104">
        <v>4</v>
      </c>
      <c r="I84" s="54" t="s">
        <v>112</v>
      </c>
    </row>
    <row r="85" spans="1:122" ht="16" customHeight="1">
      <c r="A85" s="228" t="s">
        <v>72</v>
      </c>
      <c r="B85" s="54" t="s">
        <v>94</v>
      </c>
      <c r="C85" s="103">
        <f t="shared" si="7"/>
        <v>2</v>
      </c>
      <c r="D85" s="94" t="s">
        <v>122</v>
      </c>
      <c r="E85" s="94" t="s">
        <v>122</v>
      </c>
      <c r="F85" s="54" t="str">
        <f>'1.2'!F85</f>
        <v>2450-ОЗ</v>
      </c>
      <c r="G85" s="53">
        <f>'1.1'!H85</f>
        <v>44546</v>
      </c>
      <c r="H85" s="104">
        <v>6</v>
      </c>
      <c r="I85" s="54" t="s">
        <v>112</v>
      </c>
    </row>
    <row r="86" spans="1:122" s="33" customFormat="1" ht="16" customHeight="1">
      <c r="A86" s="228" t="s">
        <v>73</v>
      </c>
      <c r="B86" s="54" t="s">
        <v>94</v>
      </c>
      <c r="C86" s="103">
        <f t="shared" si="7"/>
        <v>2</v>
      </c>
      <c r="D86" s="94" t="s">
        <v>122</v>
      </c>
      <c r="E86" s="94" t="s">
        <v>122</v>
      </c>
      <c r="F86" s="54" t="str">
        <f>'1.2'!F86</f>
        <v>136-ОЗ</v>
      </c>
      <c r="G86" s="53">
        <f>'1.1'!H86</f>
        <v>44559</v>
      </c>
      <c r="H86" s="104">
        <v>8</v>
      </c>
      <c r="I86" s="54" t="s">
        <v>112</v>
      </c>
      <c r="J86" s="81"/>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row>
    <row r="87" spans="1:122" ht="16" customHeight="1">
      <c r="A87" s="227" t="s">
        <v>74</v>
      </c>
      <c r="B87" s="100"/>
      <c r="C87" s="47"/>
      <c r="D87" s="105"/>
      <c r="E87" s="105"/>
      <c r="F87" s="105"/>
      <c r="G87" s="107"/>
      <c r="H87" s="100"/>
      <c r="I87" s="106"/>
    </row>
    <row r="88" spans="1:122" s="33" customFormat="1" ht="16" customHeight="1">
      <c r="A88" s="228" t="s">
        <v>64</v>
      </c>
      <c r="B88" s="54" t="s">
        <v>94</v>
      </c>
      <c r="C88" s="103">
        <f t="shared" ref="C88:C98" si="8">IF(B88="Да, содержится",2,0)</f>
        <v>2</v>
      </c>
      <c r="D88" s="94" t="s">
        <v>122</v>
      </c>
      <c r="E88" s="94" t="s">
        <v>122</v>
      </c>
      <c r="F88" s="54" t="str">
        <f>'1.2'!F88</f>
        <v>1932-VI</v>
      </c>
      <c r="G88" s="53">
        <f>'1.1'!H88</f>
        <v>44553</v>
      </c>
      <c r="H88" s="104" t="s">
        <v>162</v>
      </c>
      <c r="I88" s="54" t="s">
        <v>112</v>
      </c>
      <c r="J88" s="81"/>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row>
    <row r="89" spans="1:122" s="33" customFormat="1" ht="16" customHeight="1">
      <c r="A89" s="228" t="s">
        <v>75</v>
      </c>
      <c r="B89" s="54" t="s">
        <v>94</v>
      </c>
      <c r="C89" s="103">
        <f t="shared" si="8"/>
        <v>2</v>
      </c>
      <c r="D89" s="94" t="s">
        <v>122</v>
      </c>
      <c r="E89" s="94" t="s">
        <v>122</v>
      </c>
      <c r="F89" s="54" t="str">
        <f>'1.2'!F89</f>
        <v>2416-З N 743-VI</v>
      </c>
      <c r="G89" s="53">
        <f>'1.1'!H89</f>
        <v>44530</v>
      </c>
      <c r="H89" s="104">
        <v>7</v>
      </c>
      <c r="I89" s="54" t="s">
        <v>112</v>
      </c>
      <c r="J89" s="81"/>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row>
    <row r="90" spans="1:122" s="33" customFormat="1" ht="16" customHeight="1">
      <c r="A90" s="228" t="s">
        <v>68</v>
      </c>
      <c r="B90" s="54" t="s">
        <v>94</v>
      </c>
      <c r="C90" s="103">
        <f t="shared" si="8"/>
        <v>2</v>
      </c>
      <c r="D90" s="94" t="s">
        <v>122</v>
      </c>
      <c r="E90" s="94" t="s">
        <v>122</v>
      </c>
      <c r="F90" s="54" t="str">
        <f>'1.2'!F90</f>
        <v>2007-ЗЗК</v>
      </c>
      <c r="G90" s="53">
        <f>'1.1'!H90</f>
        <v>44560</v>
      </c>
      <c r="H90" s="104" t="s">
        <v>153</v>
      </c>
      <c r="I90" s="54" t="s">
        <v>112</v>
      </c>
      <c r="J90" s="81"/>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row>
    <row r="91" spans="1:122" ht="16" customHeight="1">
      <c r="A91" s="228" t="s">
        <v>76</v>
      </c>
      <c r="B91" s="54" t="s">
        <v>94</v>
      </c>
      <c r="C91" s="103">
        <f t="shared" si="8"/>
        <v>2</v>
      </c>
      <c r="D91" s="94" t="s">
        <v>122</v>
      </c>
      <c r="E91" s="94" t="s">
        <v>122</v>
      </c>
      <c r="F91" s="54">
        <f>'1.2'!F91</f>
        <v>5</v>
      </c>
      <c r="G91" s="53">
        <f>'1.1'!H91</f>
        <v>44526</v>
      </c>
      <c r="H91" s="104" t="s">
        <v>371</v>
      </c>
      <c r="I91" s="54" t="s">
        <v>112</v>
      </c>
    </row>
    <row r="92" spans="1:122" ht="16" customHeight="1">
      <c r="A92" s="228" t="s">
        <v>77</v>
      </c>
      <c r="B92" s="54" t="s">
        <v>94</v>
      </c>
      <c r="C92" s="103">
        <f t="shared" si="8"/>
        <v>2</v>
      </c>
      <c r="D92" s="94" t="s">
        <v>122</v>
      </c>
      <c r="E92" s="94" t="s">
        <v>122</v>
      </c>
      <c r="F92" s="54" t="str">
        <f>'1.2'!F92</f>
        <v>31-КЗ</v>
      </c>
      <c r="G92" s="53">
        <f>'1.1'!H92</f>
        <v>44551</v>
      </c>
      <c r="H92" s="104">
        <v>6</v>
      </c>
      <c r="I92" s="54" t="s">
        <v>112</v>
      </c>
    </row>
    <row r="93" spans="1:122" ht="16" customHeight="1">
      <c r="A93" s="228" t="s">
        <v>78</v>
      </c>
      <c r="B93" s="54" t="s">
        <v>94</v>
      </c>
      <c r="C93" s="103">
        <f t="shared" si="8"/>
        <v>2</v>
      </c>
      <c r="D93" s="94" t="s">
        <v>122</v>
      </c>
      <c r="E93" s="94" t="s">
        <v>122</v>
      </c>
      <c r="F93" s="54">
        <f>'1.2'!F93</f>
        <v>247</v>
      </c>
      <c r="G93" s="53">
        <f>'1.1'!H93</f>
        <v>44510</v>
      </c>
      <c r="H93" s="104">
        <v>7</v>
      </c>
      <c r="I93" s="54" t="s">
        <v>112</v>
      </c>
    </row>
    <row r="94" spans="1:122" s="33" customFormat="1" ht="16" customHeight="1">
      <c r="A94" s="228" t="s">
        <v>79</v>
      </c>
      <c r="B94" s="54" t="s">
        <v>94</v>
      </c>
      <c r="C94" s="103">
        <f t="shared" si="8"/>
        <v>2</v>
      </c>
      <c r="D94" s="94" t="s">
        <v>122</v>
      </c>
      <c r="E94" s="94" t="s">
        <v>122</v>
      </c>
      <c r="F94" s="54" t="str">
        <f>'1.2'!F94</f>
        <v>48-ОЗ</v>
      </c>
      <c r="G94" s="53">
        <f>'1.1'!H94</f>
        <v>44539</v>
      </c>
      <c r="H94" s="104">
        <v>8</v>
      </c>
      <c r="I94" s="54" t="s">
        <v>112</v>
      </c>
      <c r="J94" s="81"/>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row>
    <row r="95" spans="1:122" s="33" customFormat="1" ht="16" customHeight="1">
      <c r="A95" s="228" t="s">
        <v>80</v>
      </c>
      <c r="B95" s="54" t="s">
        <v>94</v>
      </c>
      <c r="C95" s="103">
        <f t="shared" si="8"/>
        <v>2</v>
      </c>
      <c r="D95" s="94" t="s">
        <v>122</v>
      </c>
      <c r="E95" s="94" t="s">
        <v>122</v>
      </c>
      <c r="F95" s="54" t="str">
        <f>'1.2'!F95</f>
        <v>2655-ОЗ</v>
      </c>
      <c r="G95" s="53">
        <f>'1.1'!H95</f>
        <v>44533</v>
      </c>
      <c r="H95" s="104">
        <v>5</v>
      </c>
      <c r="I95" s="54" t="s">
        <v>112</v>
      </c>
      <c r="J95" s="81"/>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row>
    <row r="96" spans="1:122" s="33" customFormat="1" ht="16" customHeight="1">
      <c r="A96" s="228" t="s">
        <v>81</v>
      </c>
      <c r="B96" s="54" t="s">
        <v>94</v>
      </c>
      <c r="C96" s="103">
        <f t="shared" si="8"/>
        <v>2</v>
      </c>
      <c r="D96" s="94" t="s">
        <v>122</v>
      </c>
      <c r="E96" s="94" t="s">
        <v>122</v>
      </c>
      <c r="F96" s="54" t="str">
        <f>'1.2'!F96</f>
        <v>107-ЗО</v>
      </c>
      <c r="G96" s="53">
        <f>'1.1'!H96</f>
        <v>44552</v>
      </c>
      <c r="H96" s="104">
        <v>4</v>
      </c>
      <c r="I96" s="54" t="s">
        <v>112</v>
      </c>
      <c r="J96" s="81"/>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row>
    <row r="97" spans="1:122" s="33" customFormat="1" ht="16" customHeight="1">
      <c r="A97" s="228" t="s">
        <v>82</v>
      </c>
      <c r="B97" s="54" t="s">
        <v>94</v>
      </c>
      <c r="C97" s="103">
        <f t="shared" si="8"/>
        <v>2</v>
      </c>
      <c r="D97" s="94" t="s">
        <v>122</v>
      </c>
      <c r="E97" s="94" t="s">
        <v>122</v>
      </c>
      <c r="F97" s="54" t="str">
        <f>'1.2'!F97</f>
        <v>49-ОЗ</v>
      </c>
      <c r="G97" s="53">
        <f>'1.1'!H97</f>
        <v>44544</v>
      </c>
      <c r="H97" s="104" t="s">
        <v>154</v>
      </c>
      <c r="I97" s="54" t="s">
        <v>112</v>
      </c>
      <c r="J97" s="81"/>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row>
    <row r="98" spans="1:122" s="33" customFormat="1" ht="16" customHeight="1">
      <c r="A98" s="228" t="s">
        <v>83</v>
      </c>
      <c r="B98" s="54" t="s">
        <v>94</v>
      </c>
      <c r="C98" s="103">
        <f t="shared" si="8"/>
        <v>2</v>
      </c>
      <c r="D98" s="94" t="s">
        <v>122</v>
      </c>
      <c r="E98" s="94" t="s">
        <v>122</v>
      </c>
      <c r="F98" s="54" t="str">
        <f>'1.2'!F98</f>
        <v>67-ОЗ</v>
      </c>
      <c r="G98" s="53">
        <f>'1.1'!H98</f>
        <v>44531</v>
      </c>
      <c r="H98" s="104" t="s">
        <v>156</v>
      </c>
      <c r="I98" s="54" t="s">
        <v>112</v>
      </c>
      <c r="J98" s="81"/>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row>
    <row r="107" spans="1:122">
      <c r="A107" s="4"/>
      <c r="B107" s="95"/>
      <c r="C107" s="6"/>
      <c r="D107" s="6"/>
      <c r="E107" s="6"/>
      <c r="G107" s="89"/>
    </row>
    <row r="111" spans="1:122" s="2" customFormat="1">
      <c r="A111" s="4"/>
      <c r="B111" s="95"/>
      <c r="C111" s="6"/>
      <c r="D111" s="6"/>
      <c r="E111" s="6"/>
      <c r="F111" s="3"/>
      <c r="G111" s="89"/>
      <c r="H111" s="14"/>
      <c r="I111" s="34"/>
      <c r="J111" s="8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row>
    <row r="114" spans="1:122" s="2" customFormat="1">
      <c r="A114" s="4"/>
      <c r="B114" s="95"/>
      <c r="C114" s="6"/>
      <c r="D114" s="6"/>
      <c r="E114" s="6"/>
      <c r="F114" s="3"/>
      <c r="G114" s="89"/>
      <c r="H114" s="14"/>
      <c r="I114" s="34"/>
      <c r="J114" s="81"/>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row>
    <row r="118" spans="1:122" s="2" customFormat="1">
      <c r="A118" s="4"/>
      <c r="B118" s="95"/>
      <c r="C118" s="6"/>
      <c r="D118" s="6"/>
      <c r="E118" s="6"/>
      <c r="F118" s="3"/>
      <c r="G118" s="89"/>
      <c r="H118" s="14"/>
      <c r="I118" s="34"/>
      <c r="J118" s="81"/>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row>
    <row r="121" spans="1:122" s="2" customFormat="1" ht="12">
      <c r="A121" s="4"/>
      <c r="B121" s="95"/>
      <c r="C121" s="6"/>
      <c r="D121" s="6"/>
      <c r="E121" s="6"/>
      <c r="F121" s="3"/>
      <c r="G121" s="89"/>
      <c r="H121" s="14"/>
      <c r="I121" s="34"/>
      <c r="J121" s="96"/>
    </row>
    <row r="125" spans="1:122" s="2" customFormat="1" ht="12">
      <c r="A125" s="4"/>
      <c r="B125" s="95"/>
      <c r="C125" s="6"/>
      <c r="D125" s="6"/>
      <c r="E125" s="6"/>
      <c r="F125" s="3"/>
      <c r="G125" s="89"/>
      <c r="H125" s="14"/>
      <c r="I125" s="34"/>
      <c r="J125" s="96"/>
    </row>
  </sheetData>
  <mergeCells count="12">
    <mergeCell ref="A1:I1"/>
    <mergeCell ref="A2:I2"/>
    <mergeCell ref="I3:I5"/>
    <mergeCell ref="E4:E5"/>
    <mergeCell ref="F3:H3"/>
    <mergeCell ref="F4:F5"/>
    <mergeCell ref="G4:G5"/>
    <mergeCell ref="H4:H5"/>
    <mergeCell ref="A3:A5"/>
    <mergeCell ref="C4:C5"/>
    <mergeCell ref="D3:E3"/>
    <mergeCell ref="D4:D5"/>
  </mergeCells>
  <dataValidations count="1">
    <dataValidation type="list" allowBlank="1" showInputMessage="1" showErrorMessage="1" sqref="F6:G6 B6:B98" xr:uid="{00000000-0002-0000-0500-000000000000}">
      <formula1>$B$4:$B$5</formula1>
    </dataValidation>
  </dataValidations>
  <pageMargins left="0.70866141732283472" right="0.70866141732283472" top="0.74803149606299213" bottom="0.74803149606299213" header="0.31496062992125984" footer="0.31496062992125984"/>
  <pageSetup paperSize="9" scale="82" fitToHeight="0" orientation="landscape" r:id="rId1"/>
  <headerFooter>
    <oddFooter>&amp;C&amp;A&amp;R&amp;P</oddFooter>
  </headerFooter>
  <ignoredErrors>
    <ignoredError sqref="H32 H12"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5400"/>
  <sheetViews>
    <sheetView zoomScaleNormal="100" workbookViewId="0">
      <pane ySplit="6" topLeftCell="A7" activePane="bottomLeft" state="frozen"/>
      <selection activeCell="G1" sqref="G1"/>
      <selection pane="bottomLeft" sqref="A1:AA1"/>
    </sheetView>
  </sheetViews>
  <sheetFormatPr baseColWidth="10" defaultColWidth="9.1640625" defaultRowHeight="15"/>
  <cols>
    <col min="1" max="1" width="24.83203125" style="3" customWidth="1"/>
    <col min="2" max="2" width="39.5" style="3" customWidth="1"/>
    <col min="3" max="3" width="5.5" style="3" customWidth="1"/>
    <col min="4" max="4" width="4.5" style="3" customWidth="1"/>
    <col min="5" max="5" width="5.5" style="5" customWidth="1"/>
    <col min="6" max="6" width="14.83203125" style="44" customWidth="1"/>
    <col min="7" max="7" width="11.83203125" style="44" customWidth="1"/>
    <col min="8" max="12" width="13.1640625" style="44" customWidth="1"/>
    <col min="13" max="13" width="10.83203125" style="120" customWidth="1"/>
    <col min="14" max="14" width="12.83203125" style="110" customWidth="1"/>
    <col min="15" max="16" width="15" style="44" customWidth="1"/>
    <col min="17" max="18" width="13.1640625" style="44" customWidth="1"/>
    <col min="19" max="19" width="12" style="44" customWidth="1"/>
    <col min="20" max="20" width="14" style="44" customWidth="1"/>
    <col min="21" max="21" width="13.1640625" style="44" customWidth="1"/>
    <col min="22" max="22" width="10.83203125" style="130" customWidth="1"/>
    <col min="23" max="24" width="9.5" style="5" customWidth="1"/>
    <col min="25" max="26" width="9.5" style="8" customWidth="1"/>
    <col min="27" max="27" width="17" customWidth="1"/>
    <col min="28" max="28" width="9.6640625" style="180" bestFit="1" customWidth="1"/>
    <col min="29" max="29" width="10.5" style="79" bestFit="1" customWidth="1"/>
    <col min="33" max="33" width="11.6640625" bestFit="1" customWidth="1"/>
    <col min="41" max="41" width="12.83203125" bestFit="1" customWidth="1"/>
  </cols>
  <sheetData>
    <row r="1" spans="1:29" s="1" customFormat="1" ht="30" customHeight="1">
      <c r="A1" s="259" t="s">
        <v>381</v>
      </c>
      <c r="B1" s="259"/>
      <c r="C1" s="259"/>
      <c r="D1" s="259"/>
      <c r="E1" s="259"/>
      <c r="F1" s="259"/>
      <c r="G1" s="259"/>
      <c r="H1" s="259"/>
      <c r="I1" s="259"/>
      <c r="J1" s="259"/>
      <c r="K1" s="259"/>
      <c r="L1" s="259"/>
      <c r="M1" s="260"/>
      <c r="N1" s="259"/>
      <c r="O1" s="259"/>
      <c r="P1" s="259"/>
      <c r="Q1" s="259"/>
      <c r="R1" s="259"/>
      <c r="S1" s="259"/>
      <c r="T1" s="259"/>
      <c r="U1" s="259"/>
      <c r="V1" s="260"/>
      <c r="W1" s="259"/>
      <c r="X1" s="259"/>
      <c r="Y1" s="261"/>
      <c r="Z1" s="261"/>
      <c r="AA1" s="261"/>
      <c r="AB1" s="180"/>
      <c r="AC1" s="34"/>
    </row>
    <row r="2" spans="1:29" s="1" customFormat="1" ht="16" customHeight="1">
      <c r="A2" s="262" t="s">
        <v>660</v>
      </c>
      <c r="B2" s="262"/>
      <c r="C2" s="262"/>
      <c r="D2" s="262"/>
      <c r="E2" s="262"/>
      <c r="F2" s="262"/>
      <c r="G2" s="262"/>
      <c r="H2" s="262"/>
      <c r="I2" s="262"/>
      <c r="J2" s="262"/>
      <c r="K2" s="262"/>
      <c r="L2" s="262"/>
      <c r="M2" s="263"/>
      <c r="N2" s="262"/>
      <c r="O2" s="262"/>
      <c r="P2" s="262"/>
      <c r="Q2" s="262"/>
      <c r="R2" s="262"/>
      <c r="S2" s="262"/>
      <c r="T2" s="262"/>
      <c r="U2" s="262"/>
      <c r="V2" s="263"/>
      <c r="W2" s="262"/>
      <c r="X2" s="262"/>
      <c r="Y2" s="264"/>
      <c r="Z2" s="264"/>
      <c r="AA2" s="264"/>
      <c r="AB2" s="180"/>
      <c r="AC2" s="34"/>
    </row>
    <row r="3" spans="1:29" ht="88" customHeight="1">
      <c r="A3" s="248" t="s">
        <v>687</v>
      </c>
      <c r="B3" s="123" t="str">
        <f>'Оценка (раздел 1)'!H3</f>
        <v>1.4 Содержатся ли в составе закона о бюджете сведения об общем объеме межбюджетных трансфертов, предоставляемых другим бюджетам бюджетной системы РФ в 2022 году и плановом периоде 2023 и 2024 годов, с детализацией по соответствующим бюджетам бюджетной системы РФ и формам межбюджетных трансфертов?</v>
      </c>
      <c r="C3" s="265" t="s">
        <v>102</v>
      </c>
      <c r="D3" s="265"/>
      <c r="E3" s="265"/>
      <c r="F3" s="257" t="s">
        <v>424</v>
      </c>
      <c r="G3" s="257" t="s">
        <v>502</v>
      </c>
      <c r="H3" s="267" t="s">
        <v>653</v>
      </c>
      <c r="I3" s="258"/>
      <c r="J3" s="258"/>
      <c r="K3" s="258"/>
      <c r="L3" s="258"/>
      <c r="M3" s="258"/>
      <c r="N3" s="257" t="s">
        <v>503</v>
      </c>
      <c r="O3" s="244" t="s">
        <v>654</v>
      </c>
      <c r="P3" s="258"/>
      <c r="Q3" s="258"/>
      <c r="R3" s="258"/>
      <c r="S3" s="258"/>
      <c r="T3" s="257" t="s">
        <v>445</v>
      </c>
      <c r="U3" s="258"/>
      <c r="V3" s="258"/>
      <c r="W3" s="247" t="s">
        <v>446</v>
      </c>
      <c r="X3" s="258"/>
      <c r="Y3" s="258"/>
      <c r="Z3" s="258"/>
      <c r="AA3" s="268" t="s">
        <v>132</v>
      </c>
    </row>
    <row r="4" spans="1:29" ht="42" customHeight="1">
      <c r="A4" s="248"/>
      <c r="B4" s="45" t="str">
        <f>'Методика (раздел 1)'!B26</f>
        <v>Да, содержатся для всех бюджетов бюджетной системы, которым законом о бюджете предусмотрены межбюджетные трансферты</v>
      </c>
      <c r="C4" s="248" t="s">
        <v>91</v>
      </c>
      <c r="D4" s="247" t="s">
        <v>191</v>
      </c>
      <c r="E4" s="265" t="s">
        <v>90</v>
      </c>
      <c r="F4" s="258"/>
      <c r="G4" s="258"/>
      <c r="H4" s="244" t="s">
        <v>425</v>
      </c>
      <c r="I4" s="244" t="s">
        <v>432</v>
      </c>
      <c r="J4" s="244"/>
      <c r="K4" s="244"/>
      <c r="L4" s="244"/>
      <c r="M4" s="244" t="s">
        <v>491</v>
      </c>
      <c r="N4" s="258"/>
      <c r="O4" s="244" t="s">
        <v>430</v>
      </c>
      <c r="P4" s="244" t="s">
        <v>431</v>
      </c>
      <c r="Q4" s="244" t="s">
        <v>437</v>
      </c>
      <c r="R4" s="244" t="s">
        <v>438</v>
      </c>
      <c r="S4" s="244" t="s">
        <v>488</v>
      </c>
      <c r="T4" s="257" t="s">
        <v>435</v>
      </c>
      <c r="U4" s="257" t="s">
        <v>434</v>
      </c>
      <c r="V4" s="269" t="s">
        <v>436</v>
      </c>
      <c r="W4" s="248" t="s">
        <v>111</v>
      </c>
      <c r="X4" s="266" t="s">
        <v>193</v>
      </c>
      <c r="Y4" s="266" t="s">
        <v>138</v>
      </c>
      <c r="Z4" s="266" t="s">
        <v>136</v>
      </c>
      <c r="AA4" s="268"/>
    </row>
    <row r="5" spans="1:29" ht="50" customHeight="1">
      <c r="A5" s="248"/>
      <c r="B5" s="45" t="str">
        <f>'Методика (раздел 1)'!B27</f>
        <v>Да, содержатся только в части местных бюджетов, при этом законом о бюджете предусмотрены также межбюджетные трансферты другим бюджетам бюджетной системы</v>
      </c>
      <c r="C5" s="248"/>
      <c r="D5" s="247"/>
      <c r="E5" s="265"/>
      <c r="F5" s="258"/>
      <c r="G5" s="258"/>
      <c r="H5" s="258"/>
      <c r="I5" s="244" t="s">
        <v>426</v>
      </c>
      <c r="J5" s="244" t="s">
        <v>427</v>
      </c>
      <c r="K5" s="244" t="s">
        <v>428</v>
      </c>
      <c r="L5" s="244" t="s">
        <v>429</v>
      </c>
      <c r="M5" s="258"/>
      <c r="N5" s="258"/>
      <c r="O5" s="258"/>
      <c r="P5" s="258"/>
      <c r="Q5" s="258"/>
      <c r="R5" s="258"/>
      <c r="S5" s="258"/>
      <c r="T5" s="258"/>
      <c r="U5" s="258"/>
      <c r="V5" s="270"/>
      <c r="W5" s="248"/>
      <c r="X5" s="266"/>
      <c r="Y5" s="266"/>
      <c r="Z5" s="266"/>
      <c r="AA5" s="268"/>
    </row>
    <row r="6" spans="1:29" ht="19" customHeight="1">
      <c r="A6" s="248"/>
      <c r="B6" s="45" t="str">
        <f>'Методика (раздел 1)'!B28</f>
        <v>Нет, не содержатся или не отвечают требованиям</v>
      </c>
      <c r="C6" s="248"/>
      <c r="D6" s="247"/>
      <c r="E6" s="265"/>
      <c r="F6" s="258"/>
      <c r="G6" s="258"/>
      <c r="H6" s="258"/>
      <c r="I6" s="258"/>
      <c r="J6" s="258"/>
      <c r="K6" s="258"/>
      <c r="L6" s="258"/>
      <c r="M6" s="258"/>
      <c r="N6" s="258"/>
      <c r="O6" s="258"/>
      <c r="P6" s="258"/>
      <c r="Q6" s="258"/>
      <c r="R6" s="258"/>
      <c r="S6" s="258"/>
      <c r="T6" s="258"/>
      <c r="U6" s="258"/>
      <c r="V6" s="270"/>
      <c r="W6" s="248"/>
      <c r="X6" s="266"/>
      <c r="Y6" s="266"/>
      <c r="Z6" s="266"/>
      <c r="AA6" s="268"/>
    </row>
    <row r="7" spans="1:29" ht="15" customHeight="1">
      <c r="A7" s="227" t="s">
        <v>0</v>
      </c>
      <c r="B7" s="46"/>
      <c r="C7" s="46"/>
      <c r="D7" s="46"/>
      <c r="E7" s="47"/>
      <c r="F7" s="48"/>
      <c r="G7" s="48"/>
      <c r="H7" s="48"/>
      <c r="I7" s="48"/>
      <c r="J7" s="48"/>
      <c r="K7" s="48"/>
      <c r="L7" s="48"/>
      <c r="M7" s="48"/>
      <c r="N7" s="65"/>
      <c r="O7" s="48"/>
      <c r="P7" s="48"/>
      <c r="Q7" s="48"/>
      <c r="R7" s="48"/>
      <c r="S7" s="48"/>
      <c r="T7" s="48"/>
      <c r="U7" s="48"/>
      <c r="V7" s="129"/>
      <c r="W7" s="46"/>
      <c r="X7" s="47"/>
      <c r="Y7" s="46"/>
      <c r="Z7" s="49"/>
      <c r="AA7" s="125"/>
    </row>
    <row r="8" spans="1:29" ht="15" customHeight="1">
      <c r="A8" s="228" t="s">
        <v>1</v>
      </c>
      <c r="B8" s="50" t="s">
        <v>385</v>
      </c>
      <c r="C8" s="51">
        <f>IF(B8=$B$4,2,IF(B8=$B$5,1,0))</f>
        <v>0</v>
      </c>
      <c r="D8" s="51"/>
      <c r="E8" s="52">
        <f t="shared" ref="E8:E19" si="0">C8*(1-D8)</f>
        <v>0</v>
      </c>
      <c r="F8" s="64" t="s">
        <v>123</v>
      </c>
      <c r="G8" s="64" t="s">
        <v>123</v>
      </c>
      <c r="H8" s="55" t="s">
        <v>112</v>
      </c>
      <c r="I8" s="55" t="s">
        <v>112</v>
      </c>
      <c r="J8" s="55">
        <v>15798921.699999999</v>
      </c>
      <c r="K8" s="55" t="s">
        <v>112</v>
      </c>
      <c r="L8" s="55" t="s">
        <v>112</v>
      </c>
      <c r="M8" s="119" t="s">
        <v>112</v>
      </c>
      <c r="N8" s="57" t="s">
        <v>441</v>
      </c>
      <c r="O8" s="55" t="s">
        <v>112</v>
      </c>
      <c r="P8" s="55" t="s">
        <v>112</v>
      </c>
      <c r="Q8" s="55" t="s">
        <v>112</v>
      </c>
      <c r="R8" s="55" t="s">
        <v>112</v>
      </c>
      <c r="S8" s="55" t="s">
        <v>112</v>
      </c>
      <c r="T8" s="55">
        <f>SUM(I8:S8)</f>
        <v>15798921.699999999</v>
      </c>
      <c r="U8" s="55">
        <v>60600397.299999997</v>
      </c>
      <c r="V8" s="55">
        <f>U8-T8</f>
        <v>44801475.599999994</v>
      </c>
      <c r="W8" s="54">
        <f>'1.2'!F7</f>
        <v>130</v>
      </c>
      <c r="X8" s="53">
        <f>'1.1'!H7</f>
        <v>44546</v>
      </c>
      <c r="Y8" s="58">
        <v>11</v>
      </c>
      <c r="Z8" s="58">
        <v>16</v>
      </c>
      <c r="AA8" s="185" t="s">
        <v>662</v>
      </c>
      <c r="AB8" s="87" t="s">
        <v>112</v>
      </c>
      <c r="AC8"/>
    </row>
    <row r="9" spans="1:29" ht="15" customHeight="1">
      <c r="A9" s="228" t="s">
        <v>2</v>
      </c>
      <c r="B9" s="50" t="s">
        <v>384</v>
      </c>
      <c r="C9" s="51">
        <f t="shared" ref="C9:C72" si="1">IF(B9=$B$4,2,IF(B9=$B$5,1,0))</f>
        <v>1</v>
      </c>
      <c r="D9" s="51"/>
      <c r="E9" s="52">
        <f t="shared" si="0"/>
        <v>1</v>
      </c>
      <c r="F9" s="64" t="s">
        <v>439</v>
      </c>
      <c r="G9" s="64" t="s">
        <v>122</v>
      </c>
      <c r="H9" s="55">
        <f>25660262.05152</f>
        <v>25660262.051520001</v>
      </c>
      <c r="I9" s="55">
        <v>3207822.2</v>
      </c>
      <c r="J9" s="55">
        <v>9344145.6010200009</v>
      </c>
      <c r="K9" s="55">
        <v>11966856.20624</v>
      </c>
      <c r="L9" s="55">
        <v>1141438.0442600001</v>
      </c>
      <c r="M9" s="119" t="s">
        <v>112</v>
      </c>
      <c r="N9" s="57" t="s">
        <v>123</v>
      </c>
      <c r="O9" s="55">
        <v>984.9</v>
      </c>
      <c r="P9" s="55" t="s">
        <v>112</v>
      </c>
      <c r="Q9" s="55" t="s">
        <v>112</v>
      </c>
      <c r="R9" s="55" t="s">
        <v>112</v>
      </c>
      <c r="S9" s="55" t="s">
        <v>112</v>
      </c>
      <c r="T9" s="55">
        <f>SUM(I9:S9)</f>
        <v>25661246.95152</v>
      </c>
      <c r="U9" s="55">
        <v>25679246.95152</v>
      </c>
      <c r="V9" s="55">
        <f>U9-T9</f>
        <v>18000</v>
      </c>
      <c r="W9" s="54" t="str">
        <f>'1.2'!F8</f>
        <v>105-З</v>
      </c>
      <c r="X9" s="53">
        <f>'1.1'!H8</f>
        <v>44543</v>
      </c>
      <c r="Y9" s="58">
        <v>5</v>
      </c>
      <c r="Z9" s="58" t="s">
        <v>112</v>
      </c>
      <c r="AA9" s="138" t="s">
        <v>519</v>
      </c>
      <c r="AB9" s="181" t="s">
        <v>112</v>
      </c>
    </row>
    <row r="10" spans="1:29" ht="15" customHeight="1">
      <c r="A10" s="228" t="s">
        <v>3</v>
      </c>
      <c r="B10" s="50" t="s">
        <v>383</v>
      </c>
      <c r="C10" s="51">
        <f t="shared" si="1"/>
        <v>2</v>
      </c>
      <c r="D10" s="51"/>
      <c r="E10" s="52">
        <f t="shared" si="0"/>
        <v>2</v>
      </c>
      <c r="F10" s="64" t="s">
        <v>447</v>
      </c>
      <c r="G10" s="64" t="s">
        <v>122</v>
      </c>
      <c r="H10" s="55">
        <v>30845890</v>
      </c>
      <c r="I10" s="55">
        <v>5061179</v>
      </c>
      <c r="J10" s="55">
        <v>11196419.5</v>
      </c>
      <c r="K10" s="55">
        <v>12639798</v>
      </c>
      <c r="L10" s="55">
        <v>1948493.5</v>
      </c>
      <c r="M10" s="119" t="s">
        <v>112</v>
      </c>
      <c r="N10" s="57" t="s">
        <v>122</v>
      </c>
      <c r="O10" s="55">
        <v>11792.4</v>
      </c>
      <c r="P10" s="55" t="s">
        <v>112</v>
      </c>
      <c r="Q10" s="55">
        <v>27833.4</v>
      </c>
      <c r="R10" s="55" t="s">
        <v>112</v>
      </c>
      <c r="S10" s="55" t="s">
        <v>112</v>
      </c>
      <c r="T10" s="55">
        <f t="shared" ref="T10:T72" si="2">SUM(I10:S10)</f>
        <v>30885515.799999997</v>
      </c>
      <c r="U10" s="55">
        <v>30885515.800000001</v>
      </c>
      <c r="V10" s="55">
        <f>U10-T10</f>
        <v>0</v>
      </c>
      <c r="W10" s="54" t="str">
        <f>'1.2'!F9</f>
        <v>142-ОЗ</v>
      </c>
      <c r="X10" s="53">
        <f>'1.1'!H9</f>
        <v>44553</v>
      </c>
      <c r="Y10" s="58">
        <v>8</v>
      </c>
      <c r="Z10" s="58" t="s">
        <v>448</v>
      </c>
      <c r="AA10" s="138" t="s">
        <v>112</v>
      </c>
    </row>
    <row r="11" spans="1:29" s="7" customFormat="1" ht="15" customHeight="1">
      <c r="A11" s="228" t="s">
        <v>4</v>
      </c>
      <c r="B11" s="50" t="s">
        <v>384</v>
      </c>
      <c r="C11" s="51">
        <f t="shared" si="1"/>
        <v>1</v>
      </c>
      <c r="D11" s="51"/>
      <c r="E11" s="52">
        <f t="shared" si="0"/>
        <v>1</v>
      </c>
      <c r="F11" s="64" t="s">
        <v>439</v>
      </c>
      <c r="G11" s="64" t="s">
        <v>122</v>
      </c>
      <c r="H11" s="55">
        <v>42352033.399999999</v>
      </c>
      <c r="I11" s="55">
        <v>2847105</v>
      </c>
      <c r="J11" s="55">
        <v>18281869.899999999</v>
      </c>
      <c r="K11" s="55">
        <v>19449581.300000001</v>
      </c>
      <c r="L11" s="55">
        <v>1773477.2</v>
      </c>
      <c r="M11" s="119">
        <f>H11-(I11+J11+K11+L11)</f>
        <v>0</v>
      </c>
      <c r="N11" s="57" t="s">
        <v>123</v>
      </c>
      <c r="O11" s="55" t="s">
        <v>112</v>
      </c>
      <c r="P11" s="55" t="s">
        <v>112</v>
      </c>
      <c r="Q11" s="55" t="s">
        <v>112</v>
      </c>
      <c r="R11" s="55" t="s">
        <v>112</v>
      </c>
      <c r="S11" s="55" t="s">
        <v>112</v>
      </c>
      <c r="T11" s="55">
        <f>SUM(I11:S11)</f>
        <v>42352033.400000006</v>
      </c>
      <c r="U11" s="55">
        <v>42382033.399999999</v>
      </c>
      <c r="V11" s="55">
        <f t="shared" ref="V11:V31" si="3">U11-T11</f>
        <v>29999.999999992549</v>
      </c>
      <c r="W11" s="54" t="str">
        <f>'1.2'!F10</f>
        <v>126-ОЗ</v>
      </c>
      <c r="X11" s="53">
        <f>'1.1'!H10</f>
        <v>44544</v>
      </c>
      <c r="Y11" s="58">
        <v>12</v>
      </c>
      <c r="Z11" s="58">
        <v>16</v>
      </c>
      <c r="AA11" s="138" t="s">
        <v>520</v>
      </c>
      <c r="AB11" s="180" t="s">
        <v>112</v>
      </c>
      <c r="AC11" s="80"/>
    </row>
    <row r="12" spans="1:29" s="32" customFormat="1" ht="15" customHeight="1">
      <c r="A12" s="228" t="s">
        <v>5</v>
      </c>
      <c r="B12" s="50" t="s">
        <v>383</v>
      </c>
      <c r="C12" s="51">
        <f t="shared" si="1"/>
        <v>2</v>
      </c>
      <c r="D12" s="51"/>
      <c r="E12" s="52">
        <f t="shared" si="0"/>
        <v>2</v>
      </c>
      <c r="F12" s="64" t="s">
        <v>447</v>
      </c>
      <c r="G12" s="64" t="s">
        <v>122</v>
      </c>
      <c r="H12" s="55">
        <v>20763862.525370002</v>
      </c>
      <c r="I12" s="55">
        <v>5085331.0400299998</v>
      </c>
      <c r="J12" s="55">
        <v>7289482.66493</v>
      </c>
      <c r="K12" s="55">
        <v>7023849.2204099996</v>
      </c>
      <c r="L12" s="55">
        <v>1365199.6</v>
      </c>
      <c r="M12" s="119" t="s">
        <v>112</v>
      </c>
      <c r="N12" s="57" t="s">
        <v>122</v>
      </c>
      <c r="O12" s="55" t="s">
        <v>112</v>
      </c>
      <c r="P12" s="55" t="s">
        <v>112</v>
      </c>
      <c r="Q12" s="55">
        <v>151199.71</v>
      </c>
      <c r="R12" s="55" t="s">
        <v>112</v>
      </c>
      <c r="S12" s="55" t="s">
        <v>112</v>
      </c>
      <c r="T12" s="55">
        <f t="shared" si="2"/>
        <v>20915062.235370003</v>
      </c>
      <c r="U12" s="55">
        <v>20915062.234999999</v>
      </c>
      <c r="V12" s="55">
        <f t="shared" si="3"/>
        <v>-3.7000328302383423E-4</v>
      </c>
      <c r="W12" s="54" t="str">
        <f>'1.2'!F11</f>
        <v>98-ОЗ</v>
      </c>
      <c r="X12" s="53">
        <f>'1.1'!H11</f>
        <v>44545</v>
      </c>
      <c r="Y12" s="58">
        <v>7</v>
      </c>
      <c r="Z12" s="58" t="s">
        <v>112</v>
      </c>
      <c r="AA12" s="138" t="s">
        <v>112</v>
      </c>
      <c r="AB12" s="180"/>
      <c r="AC12" s="81"/>
    </row>
    <row r="13" spans="1:29" ht="15" customHeight="1">
      <c r="A13" s="228" t="s">
        <v>6</v>
      </c>
      <c r="B13" s="50" t="s">
        <v>383</v>
      </c>
      <c r="C13" s="51">
        <f t="shared" si="1"/>
        <v>2</v>
      </c>
      <c r="D13" s="51"/>
      <c r="E13" s="52">
        <f t="shared" si="0"/>
        <v>2</v>
      </c>
      <c r="F13" s="64" t="s">
        <v>447</v>
      </c>
      <c r="G13" s="64" t="s">
        <v>122</v>
      </c>
      <c r="H13" s="55">
        <v>34718330.899999999</v>
      </c>
      <c r="I13" s="55">
        <v>952806.8</v>
      </c>
      <c r="J13" s="55">
        <v>11308504</v>
      </c>
      <c r="K13" s="55">
        <v>21182849.800000001</v>
      </c>
      <c r="L13" s="55">
        <v>1274170.3</v>
      </c>
      <c r="M13" s="119">
        <f>H13-(I13+J13+K13+L13)</f>
        <v>0</v>
      </c>
      <c r="N13" s="57" t="s">
        <v>122</v>
      </c>
      <c r="O13" s="55">
        <v>2051</v>
      </c>
      <c r="P13" s="55" t="s">
        <v>112</v>
      </c>
      <c r="Q13" s="55">
        <v>7970</v>
      </c>
      <c r="R13" s="55">
        <v>517929.7</v>
      </c>
      <c r="S13" s="55" t="s">
        <v>112</v>
      </c>
      <c r="T13" s="55">
        <f t="shared" si="2"/>
        <v>35246281.600000001</v>
      </c>
      <c r="U13" s="55">
        <v>35246281.640000001</v>
      </c>
      <c r="V13" s="55">
        <f t="shared" si="3"/>
        <v>3.9999999105930328E-2</v>
      </c>
      <c r="W13" s="54" t="str">
        <f>'1.2'!F12</f>
        <v xml:space="preserve"> 167-ОЗ</v>
      </c>
      <c r="X13" s="53">
        <f>'1.1'!H12</f>
        <v>44533</v>
      </c>
      <c r="Y13" s="58">
        <v>14</v>
      </c>
      <c r="Z13" s="58" t="s">
        <v>112</v>
      </c>
      <c r="AA13" s="138" t="s">
        <v>112</v>
      </c>
      <c r="AB13" s="181"/>
    </row>
    <row r="14" spans="1:29" s="7" customFormat="1" ht="15" customHeight="1">
      <c r="A14" s="228" t="s">
        <v>7</v>
      </c>
      <c r="B14" s="50" t="s">
        <v>384</v>
      </c>
      <c r="C14" s="51">
        <f t="shared" si="1"/>
        <v>1</v>
      </c>
      <c r="D14" s="51"/>
      <c r="E14" s="52">
        <f t="shared" si="0"/>
        <v>1</v>
      </c>
      <c r="F14" s="64" t="s">
        <v>439</v>
      </c>
      <c r="G14" s="64" t="s">
        <v>122</v>
      </c>
      <c r="H14" s="55">
        <v>13629490.6</v>
      </c>
      <c r="I14" s="55">
        <f>136361+1694512+559129+80994</f>
        <v>2470996</v>
      </c>
      <c r="J14" s="55">
        <v>4765251.0999999996</v>
      </c>
      <c r="K14" s="55">
        <v>5508563.5999999996</v>
      </c>
      <c r="L14" s="55">
        <v>884679.9</v>
      </c>
      <c r="M14" s="119">
        <f>H14-(I14+J14+K14+L14)</f>
        <v>0</v>
      </c>
      <c r="N14" s="57" t="s">
        <v>123</v>
      </c>
      <c r="O14" s="55" t="s">
        <v>112</v>
      </c>
      <c r="P14" s="55" t="s">
        <v>112</v>
      </c>
      <c r="Q14" s="55" t="s">
        <v>112</v>
      </c>
      <c r="R14" s="55" t="s">
        <v>112</v>
      </c>
      <c r="S14" s="55" t="s">
        <v>112</v>
      </c>
      <c r="T14" s="55">
        <f t="shared" si="2"/>
        <v>13629490.6</v>
      </c>
      <c r="U14" s="55">
        <v>13643940.6</v>
      </c>
      <c r="V14" s="55">
        <f t="shared" si="3"/>
        <v>14450</v>
      </c>
      <c r="W14" s="54" t="str">
        <f>'1.2'!F13</f>
        <v>166-7-ЗКО</v>
      </c>
      <c r="X14" s="53">
        <f>'1.1'!H13</f>
        <v>44551</v>
      </c>
      <c r="Y14" s="58">
        <v>19</v>
      </c>
      <c r="Z14" s="58" t="s">
        <v>390</v>
      </c>
      <c r="AA14" s="138" t="s">
        <v>521</v>
      </c>
      <c r="AB14" s="180" t="s">
        <v>112</v>
      </c>
      <c r="AC14" s="80"/>
    </row>
    <row r="15" spans="1:29" s="32" customFormat="1" ht="15" customHeight="1">
      <c r="A15" s="228" t="s">
        <v>8</v>
      </c>
      <c r="B15" s="50" t="s">
        <v>383</v>
      </c>
      <c r="C15" s="51">
        <f t="shared" si="1"/>
        <v>2</v>
      </c>
      <c r="D15" s="51"/>
      <c r="E15" s="52">
        <f t="shared" si="0"/>
        <v>2</v>
      </c>
      <c r="F15" s="64" t="s">
        <v>447</v>
      </c>
      <c r="G15" s="64" t="s">
        <v>122</v>
      </c>
      <c r="H15" s="55">
        <f>31367451151/1000</f>
        <v>31367451.151000001</v>
      </c>
      <c r="I15" s="55">
        <f>816119239/1000</f>
        <v>816119.23899999994</v>
      </c>
      <c r="J15" s="55">
        <f>9523111024/1000</f>
        <v>9523111.0240000002</v>
      </c>
      <c r="K15" s="55">
        <f>20608538788/1000</f>
        <v>20608538.787999999</v>
      </c>
      <c r="L15" s="55">
        <f>419682100/1000</f>
        <v>419682.1</v>
      </c>
      <c r="M15" s="119" t="s">
        <v>112</v>
      </c>
      <c r="N15" s="57" t="s">
        <v>122</v>
      </c>
      <c r="O15" s="55">
        <f>1899800/1000</f>
        <v>1899.8</v>
      </c>
      <c r="P15" s="55" t="s">
        <v>112</v>
      </c>
      <c r="Q15" s="55">
        <f>15000000/1000</f>
        <v>15000</v>
      </c>
      <c r="R15" s="55" t="s">
        <v>112</v>
      </c>
      <c r="S15" s="55" t="s">
        <v>112</v>
      </c>
      <c r="T15" s="55">
        <f t="shared" si="2"/>
        <v>31384350.951000001</v>
      </c>
      <c r="U15" s="55">
        <f>31384350951/1000</f>
        <v>31384350.951000001</v>
      </c>
      <c r="V15" s="55">
        <f t="shared" si="3"/>
        <v>0</v>
      </c>
      <c r="W15" s="54" t="str">
        <f>'1.2'!F14</f>
        <v>115-ЗКО</v>
      </c>
      <c r="X15" s="53">
        <f>'1.1'!H14</f>
        <v>44537</v>
      </c>
      <c r="Y15" s="58">
        <v>9</v>
      </c>
      <c r="Z15" s="58" t="s">
        <v>112</v>
      </c>
      <c r="AA15" s="138" t="s">
        <v>112</v>
      </c>
      <c r="AB15" s="180"/>
      <c r="AC15" s="81"/>
    </row>
    <row r="16" spans="1:29" ht="15" customHeight="1">
      <c r="A16" s="228" t="s">
        <v>9</v>
      </c>
      <c r="B16" s="50" t="s">
        <v>384</v>
      </c>
      <c r="C16" s="51">
        <f t="shared" si="1"/>
        <v>1</v>
      </c>
      <c r="D16" s="51"/>
      <c r="E16" s="52">
        <f t="shared" si="0"/>
        <v>1</v>
      </c>
      <c r="F16" s="64" t="s">
        <v>439</v>
      </c>
      <c r="G16" s="64" t="s">
        <v>122</v>
      </c>
      <c r="H16" s="55">
        <f>25633857563.3/1000</f>
        <v>25633857.563299999</v>
      </c>
      <c r="I16" s="55">
        <f>3235575709/1000</f>
        <v>3235575.7089999998</v>
      </c>
      <c r="J16" s="55">
        <f>8090231219.67/1000</f>
        <v>8090231.2196700005</v>
      </c>
      <c r="K16" s="55">
        <f>12926147337.79/1000</f>
        <v>12926147.337790001</v>
      </c>
      <c r="L16" s="55">
        <f>1381903296.84/1000</f>
        <v>1381903.29684</v>
      </c>
      <c r="M16" s="119">
        <f t="shared" ref="M16" si="4">H16-(I16+J16+K16+L16)</f>
        <v>0</v>
      </c>
      <c r="N16" s="57" t="s">
        <v>123</v>
      </c>
      <c r="O16" s="55" t="s">
        <v>112</v>
      </c>
      <c r="P16" s="55" t="s">
        <v>112</v>
      </c>
      <c r="Q16" s="55" t="s">
        <v>112</v>
      </c>
      <c r="R16" s="55" t="s">
        <v>112</v>
      </c>
      <c r="S16" s="55" t="s">
        <v>112</v>
      </c>
      <c r="T16" s="55">
        <f t="shared" si="2"/>
        <v>25633857.563300002</v>
      </c>
      <c r="U16" s="55">
        <f>25731303563.3/1000</f>
        <v>25731303.563299999</v>
      </c>
      <c r="V16" s="55">
        <f>U16-T16</f>
        <v>97445.999999996275</v>
      </c>
      <c r="W16" s="54" t="str">
        <f>'1.2'!F15</f>
        <v>28-ОЗ</v>
      </c>
      <c r="X16" s="53">
        <f>'1.1'!H15</f>
        <v>44543</v>
      </c>
      <c r="Y16" s="58">
        <v>11</v>
      </c>
      <c r="Z16" s="58" t="s">
        <v>112</v>
      </c>
      <c r="AA16" s="138" t="s">
        <v>663</v>
      </c>
      <c r="AB16" s="180" t="s">
        <v>112</v>
      </c>
      <c r="AC16" s="108"/>
    </row>
    <row r="17" spans="1:42" ht="15" customHeight="1">
      <c r="A17" s="228" t="s">
        <v>10</v>
      </c>
      <c r="B17" s="50" t="s">
        <v>384</v>
      </c>
      <c r="C17" s="51">
        <f t="shared" si="1"/>
        <v>1</v>
      </c>
      <c r="D17" s="51"/>
      <c r="E17" s="52">
        <f t="shared" si="0"/>
        <v>1</v>
      </c>
      <c r="F17" s="56" t="s">
        <v>439</v>
      </c>
      <c r="G17" s="64" t="s">
        <v>122</v>
      </c>
      <c r="H17" s="55" t="s">
        <v>112</v>
      </c>
      <c r="I17" s="55">
        <v>3922953</v>
      </c>
      <c r="J17" s="55">
        <v>103165673</v>
      </c>
      <c r="K17" s="55">
        <v>123644156</v>
      </c>
      <c r="L17" s="55">
        <v>3282804</v>
      </c>
      <c r="M17" s="119" t="s">
        <v>112</v>
      </c>
      <c r="N17" s="57" t="s">
        <v>123</v>
      </c>
      <c r="O17" s="55" t="s">
        <v>112</v>
      </c>
      <c r="P17" s="55" t="s">
        <v>112</v>
      </c>
      <c r="Q17" s="55" t="s">
        <v>112</v>
      </c>
      <c r="R17" s="55">
        <v>2249082</v>
      </c>
      <c r="S17" s="55" t="s">
        <v>112</v>
      </c>
      <c r="T17" s="55">
        <f t="shared" si="2"/>
        <v>236264668</v>
      </c>
      <c r="U17" s="55">
        <v>239659026</v>
      </c>
      <c r="V17" s="55">
        <f t="shared" si="3"/>
        <v>3394358</v>
      </c>
      <c r="W17" s="54" t="str">
        <f>'1.2'!F16</f>
        <v>252/2021-ОЗ</v>
      </c>
      <c r="X17" s="53">
        <f>'1.1'!H16</f>
        <v>44540</v>
      </c>
      <c r="Y17" s="58" t="s">
        <v>391</v>
      </c>
      <c r="Z17" s="58" t="s">
        <v>112</v>
      </c>
      <c r="AA17" s="138" t="s">
        <v>522</v>
      </c>
      <c r="AB17" s="181" t="s">
        <v>112</v>
      </c>
    </row>
    <row r="18" spans="1:42" s="7" customFormat="1" ht="15" customHeight="1">
      <c r="A18" s="228" t="s">
        <v>11</v>
      </c>
      <c r="B18" s="50" t="s">
        <v>385</v>
      </c>
      <c r="C18" s="51">
        <f t="shared" si="1"/>
        <v>0</v>
      </c>
      <c r="D18" s="51"/>
      <c r="E18" s="52">
        <f t="shared" si="0"/>
        <v>0</v>
      </c>
      <c r="F18" s="56" t="s">
        <v>123</v>
      </c>
      <c r="G18" s="56" t="s">
        <v>123</v>
      </c>
      <c r="H18" s="55" t="s">
        <v>112</v>
      </c>
      <c r="I18" s="55">
        <f>2233553+400048.7+5000</f>
        <v>2638601.7000000002</v>
      </c>
      <c r="J18" s="55" t="s">
        <v>112</v>
      </c>
      <c r="K18" s="55" t="s">
        <v>112</v>
      </c>
      <c r="L18" s="55" t="s">
        <v>112</v>
      </c>
      <c r="M18" s="119" t="s">
        <v>112</v>
      </c>
      <c r="N18" s="57" t="s">
        <v>441</v>
      </c>
      <c r="O18" s="55" t="s">
        <v>112</v>
      </c>
      <c r="P18" s="55" t="s">
        <v>112</v>
      </c>
      <c r="Q18" s="55" t="s">
        <v>112</v>
      </c>
      <c r="R18" s="55" t="s">
        <v>112</v>
      </c>
      <c r="S18" s="55" t="s">
        <v>112</v>
      </c>
      <c r="T18" s="55">
        <f t="shared" si="2"/>
        <v>2638601.7000000002</v>
      </c>
      <c r="U18" s="55">
        <v>14689746.499999993</v>
      </c>
      <c r="V18" s="55">
        <f t="shared" si="3"/>
        <v>12051144.799999993</v>
      </c>
      <c r="W18" s="54" t="str">
        <f>'1.2'!F17</f>
        <v>2696-ОЗ</v>
      </c>
      <c r="X18" s="53">
        <f>'1.1'!H17</f>
        <v>44525</v>
      </c>
      <c r="Y18" s="58">
        <v>8</v>
      </c>
      <c r="Z18" s="58" t="s">
        <v>112</v>
      </c>
      <c r="AA18" s="185" t="s">
        <v>499</v>
      </c>
      <c r="AB18" s="180" t="s">
        <v>112</v>
      </c>
      <c r="AC18" s="79"/>
      <c r="AD18"/>
      <c r="AE18"/>
      <c r="AF18"/>
      <c r="AG18"/>
      <c r="AH18"/>
      <c r="AI18"/>
      <c r="AJ18"/>
      <c r="AK18"/>
      <c r="AL18"/>
      <c r="AM18"/>
      <c r="AN18"/>
      <c r="AO18"/>
      <c r="AP18"/>
    </row>
    <row r="19" spans="1:42" s="7" customFormat="1" ht="15" customHeight="1">
      <c r="A19" s="228" t="s">
        <v>12</v>
      </c>
      <c r="B19" s="50" t="s">
        <v>385</v>
      </c>
      <c r="C19" s="51">
        <f t="shared" si="1"/>
        <v>0</v>
      </c>
      <c r="D19" s="51"/>
      <c r="E19" s="52">
        <f t="shared" si="0"/>
        <v>0</v>
      </c>
      <c r="F19" s="56" t="s">
        <v>123</v>
      </c>
      <c r="G19" s="56" t="s">
        <v>123</v>
      </c>
      <c r="H19" s="55">
        <f>23593474.38638</f>
        <v>23593474.386379998</v>
      </c>
      <c r="I19" s="55" t="s">
        <v>112</v>
      </c>
      <c r="J19" s="55">
        <f>7535874.16762</f>
        <v>7535874.1676200004</v>
      </c>
      <c r="K19" s="55">
        <f>13181024.29646</f>
        <v>13181024.296460001</v>
      </c>
      <c r="L19" s="55" t="s">
        <v>112</v>
      </c>
      <c r="M19" s="119" t="s">
        <v>112</v>
      </c>
      <c r="N19" s="57" t="s">
        <v>123</v>
      </c>
      <c r="O19" s="55" t="s">
        <v>112</v>
      </c>
      <c r="P19" s="55" t="s">
        <v>112</v>
      </c>
      <c r="Q19" s="55">
        <f>17103.73632</f>
        <v>17103.73632</v>
      </c>
      <c r="R19" s="55" t="s">
        <v>112</v>
      </c>
      <c r="S19" s="55" t="s">
        <v>112</v>
      </c>
      <c r="T19" s="55">
        <f t="shared" si="2"/>
        <v>20734002.200400002</v>
      </c>
      <c r="U19" s="55">
        <f>23610578122.7/1000</f>
        <v>23610578.122700002</v>
      </c>
      <c r="V19" s="55">
        <f t="shared" si="3"/>
        <v>2876575.9222999997</v>
      </c>
      <c r="W19" s="54" t="str">
        <f>'1.2'!F18</f>
        <v>101-ОЗ</v>
      </c>
      <c r="X19" s="53">
        <f>'1.1'!H18</f>
        <v>44554</v>
      </c>
      <c r="Y19" s="58">
        <v>6</v>
      </c>
      <c r="Z19" s="58" t="s">
        <v>112</v>
      </c>
      <c r="AA19" s="185" t="s">
        <v>489</v>
      </c>
      <c r="AB19" s="180" t="s">
        <v>112</v>
      </c>
      <c r="AC19" s="80"/>
    </row>
    <row r="20" spans="1:42" s="7" customFormat="1" ht="15" customHeight="1">
      <c r="A20" s="228" t="s">
        <v>13</v>
      </c>
      <c r="B20" s="50" t="s">
        <v>383</v>
      </c>
      <c r="C20" s="51">
        <f t="shared" si="1"/>
        <v>2</v>
      </c>
      <c r="D20" s="51"/>
      <c r="E20" s="52">
        <f t="shared" ref="E20:E25" si="5">C20*(1-D20)</f>
        <v>2</v>
      </c>
      <c r="F20" s="56" t="s">
        <v>447</v>
      </c>
      <c r="G20" s="64" t="s">
        <v>122</v>
      </c>
      <c r="H20" s="55">
        <v>18464150</v>
      </c>
      <c r="I20" s="55">
        <f>2850000+798300</f>
        <v>3648300</v>
      </c>
      <c r="J20" s="55">
        <v>5996928.2999999998</v>
      </c>
      <c r="K20" s="55">
        <v>8698921.6999999993</v>
      </c>
      <c r="L20" s="55">
        <v>120000</v>
      </c>
      <c r="M20" s="119">
        <f>H20-(I20+J20+K20+L20)</f>
        <v>0</v>
      </c>
      <c r="N20" s="57" t="s">
        <v>122</v>
      </c>
      <c r="O20" s="55">
        <v>2568.1999999999998</v>
      </c>
      <c r="P20" s="55" t="s">
        <v>112</v>
      </c>
      <c r="Q20" s="55">
        <v>11700</v>
      </c>
      <c r="R20" s="55" t="s">
        <v>112</v>
      </c>
      <c r="S20" s="55" t="s">
        <v>112</v>
      </c>
      <c r="T20" s="55">
        <f t="shared" si="2"/>
        <v>18478418.199999999</v>
      </c>
      <c r="U20" s="55">
        <f>18478418181.75/1000</f>
        <v>18478418.18175</v>
      </c>
      <c r="V20" s="55">
        <f t="shared" si="3"/>
        <v>-1.8249999731779099E-2</v>
      </c>
      <c r="W20" s="54" t="str">
        <f>'1.2'!F19</f>
        <v>154-з</v>
      </c>
      <c r="X20" s="53">
        <f>'1.1'!H19</f>
        <v>44547</v>
      </c>
      <c r="Y20" s="58" t="s">
        <v>392</v>
      </c>
      <c r="Z20" s="58" t="s">
        <v>112</v>
      </c>
      <c r="AA20" s="138" t="s">
        <v>112</v>
      </c>
      <c r="AB20" s="181"/>
      <c r="AC20" s="79"/>
      <c r="AD20"/>
      <c r="AE20"/>
      <c r="AF20"/>
      <c r="AG20"/>
      <c r="AH20"/>
      <c r="AI20"/>
      <c r="AJ20"/>
      <c r="AK20"/>
      <c r="AL20"/>
      <c r="AM20"/>
      <c r="AN20"/>
      <c r="AO20"/>
      <c r="AP20"/>
    </row>
    <row r="21" spans="1:42" s="32" customFormat="1" ht="15" customHeight="1">
      <c r="A21" s="228" t="s">
        <v>14</v>
      </c>
      <c r="B21" s="50" t="s">
        <v>384</v>
      </c>
      <c r="C21" s="51">
        <f t="shared" si="1"/>
        <v>1</v>
      </c>
      <c r="D21" s="51"/>
      <c r="E21" s="52">
        <f t="shared" si="5"/>
        <v>1</v>
      </c>
      <c r="F21" s="64" t="s">
        <v>439</v>
      </c>
      <c r="G21" s="64" t="s">
        <v>122</v>
      </c>
      <c r="H21" s="55">
        <v>18196208.699999999</v>
      </c>
      <c r="I21" s="55">
        <v>2074226.7</v>
      </c>
      <c r="J21" s="55">
        <v>7455552.2999999998</v>
      </c>
      <c r="K21" s="55">
        <v>8159130.7999999998</v>
      </c>
      <c r="L21" s="55">
        <v>507298.9</v>
      </c>
      <c r="M21" s="119">
        <f>H21-(I21+J21+K21+L21)</f>
        <v>0</v>
      </c>
      <c r="N21" s="57" t="s">
        <v>123</v>
      </c>
      <c r="O21" s="55">
        <v>1257.4000000000001</v>
      </c>
      <c r="P21" s="55" t="s">
        <v>112</v>
      </c>
      <c r="Q21" s="55" t="s">
        <v>112</v>
      </c>
      <c r="R21" s="55" t="s">
        <v>112</v>
      </c>
      <c r="S21" s="55" t="s">
        <v>112</v>
      </c>
      <c r="T21" s="55">
        <f t="shared" si="2"/>
        <v>18197466.099999998</v>
      </c>
      <c r="U21" s="55">
        <v>18204606.100000001</v>
      </c>
      <c r="V21" s="55">
        <f t="shared" si="3"/>
        <v>7140.0000000037253</v>
      </c>
      <c r="W21" s="54" t="str">
        <f>'1.2'!F20</f>
        <v>37-З</v>
      </c>
      <c r="X21" s="53">
        <f>'1.1'!H20</f>
        <v>44552</v>
      </c>
      <c r="Y21" s="58">
        <v>12</v>
      </c>
      <c r="Z21" s="58" t="s">
        <v>112</v>
      </c>
      <c r="AA21" s="138" t="s">
        <v>526</v>
      </c>
      <c r="AB21" s="180" t="s">
        <v>112</v>
      </c>
      <c r="AC21" s="81"/>
    </row>
    <row r="22" spans="1:42" s="32" customFormat="1" ht="15" customHeight="1">
      <c r="A22" s="228" t="s">
        <v>15</v>
      </c>
      <c r="B22" s="50" t="s">
        <v>383</v>
      </c>
      <c r="C22" s="51">
        <f t="shared" si="1"/>
        <v>2</v>
      </c>
      <c r="D22" s="51"/>
      <c r="E22" s="52">
        <f t="shared" si="5"/>
        <v>2</v>
      </c>
      <c r="F22" s="64" t="s">
        <v>447</v>
      </c>
      <c r="G22" s="64" t="s">
        <v>122</v>
      </c>
      <c r="H22" s="55">
        <v>21473224.899999999</v>
      </c>
      <c r="I22" s="55">
        <v>2159082.7999999998</v>
      </c>
      <c r="J22" s="55">
        <v>6163545.0999999996</v>
      </c>
      <c r="K22" s="55">
        <v>11850550.9</v>
      </c>
      <c r="L22" s="55">
        <v>1300046.1000000001</v>
      </c>
      <c r="M22" s="119" t="s">
        <v>112</v>
      </c>
      <c r="N22" s="57" t="s">
        <v>122</v>
      </c>
      <c r="O22" s="55">
        <v>1579.5</v>
      </c>
      <c r="P22" s="55" t="s">
        <v>112</v>
      </c>
      <c r="Q22" s="55">
        <v>17485.7</v>
      </c>
      <c r="R22" s="55" t="s">
        <v>112</v>
      </c>
      <c r="S22" s="55" t="s">
        <v>112</v>
      </c>
      <c r="T22" s="55">
        <f t="shared" si="2"/>
        <v>21492290.100000001</v>
      </c>
      <c r="U22" s="55">
        <v>21492290.09999999</v>
      </c>
      <c r="V22" s="55">
        <f t="shared" si="3"/>
        <v>0</v>
      </c>
      <c r="W22" s="54" t="str">
        <f>'1.2'!F21</f>
        <v>83-ЗО</v>
      </c>
      <c r="X22" s="53">
        <f>'1.1'!H21</f>
        <v>44558</v>
      </c>
      <c r="Y22" s="58" t="s">
        <v>393</v>
      </c>
      <c r="Z22" s="58" t="s">
        <v>157</v>
      </c>
      <c r="AA22" s="138" t="s">
        <v>112</v>
      </c>
      <c r="AB22" s="180"/>
      <c r="AC22" s="81"/>
    </row>
    <row r="23" spans="1:42" s="36" customFormat="1" ht="15" customHeight="1">
      <c r="A23" s="228" t="s">
        <v>16</v>
      </c>
      <c r="B23" s="50" t="s">
        <v>383</v>
      </c>
      <c r="C23" s="51">
        <f t="shared" si="1"/>
        <v>2</v>
      </c>
      <c r="D23" s="51"/>
      <c r="E23" s="52">
        <f t="shared" si="5"/>
        <v>2</v>
      </c>
      <c r="F23" s="56" t="s">
        <v>447</v>
      </c>
      <c r="G23" s="56" t="s">
        <v>122</v>
      </c>
      <c r="H23" s="55">
        <f>32418573940.19/1000</f>
        <v>32418573.940189999</v>
      </c>
      <c r="I23" s="55">
        <f>1648653.99109+30000+10000+451821.88891+100000+172050.9485</f>
        <v>2412526.8284999998</v>
      </c>
      <c r="J23" s="55">
        <f>9297999209.51/1000</f>
        <v>9297999.2095100004</v>
      </c>
      <c r="K23" s="55">
        <f>16961639172.34/1000</f>
        <v>16961639.172340002</v>
      </c>
      <c r="L23" s="55">
        <f>3746408729.84/1000</f>
        <v>3746408.7298400002</v>
      </c>
      <c r="M23" s="119">
        <f>H23-(I23+J23+K23+L23)</f>
        <v>0</v>
      </c>
      <c r="N23" s="57" t="s">
        <v>122</v>
      </c>
      <c r="O23" s="55">
        <f>997600/1000</f>
        <v>997.6</v>
      </c>
      <c r="P23" s="55" t="s">
        <v>112</v>
      </c>
      <c r="Q23" s="55">
        <f>3600000/1000</f>
        <v>3600</v>
      </c>
      <c r="R23" s="55" t="s">
        <v>112</v>
      </c>
      <c r="S23" s="55" t="s">
        <v>112</v>
      </c>
      <c r="T23" s="55">
        <f t="shared" si="2"/>
        <v>32423171.540190004</v>
      </c>
      <c r="U23" s="55">
        <f>32423171540.19/1000</f>
        <v>32423171.54019</v>
      </c>
      <c r="V23" s="55">
        <f t="shared" si="3"/>
        <v>0</v>
      </c>
      <c r="W23" s="54" t="str">
        <f>'1.2'!F22</f>
        <v>124-ЗТО</v>
      </c>
      <c r="X23" s="53">
        <f>'1.1'!H22</f>
        <v>44548</v>
      </c>
      <c r="Y23" s="58" t="s">
        <v>498</v>
      </c>
      <c r="Z23" s="58" t="s">
        <v>112</v>
      </c>
      <c r="AA23" s="185" t="s">
        <v>547</v>
      </c>
      <c r="AB23" s="180" t="s">
        <v>112</v>
      </c>
      <c r="AC23" s="82"/>
      <c r="AG23" s="109"/>
    </row>
    <row r="24" spans="1:42" ht="15" customHeight="1">
      <c r="A24" s="228" t="s">
        <v>17</v>
      </c>
      <c r="B24" s="50" t="s">
        <v>384</v>
      </c>
      <c r="C24" s="51">
        <f t="shared" si="1"/>
        <v>1</v>
      </c>
      <c r="D24" s="51"/>
      <c r="E24" s="52">
        <f t="shared" si="5"/>
        <v>1</v>
      </c>
      <c r="F24" s="56" t="s">
        <v>439</v>
      </c>
      <c r="G24" s="64" t="s">
        <v>122</v>
      </c>
      <c r="H24" s="55">
        <f>42670553.848</f>
        <v>42670553.847999997</v>
      </c>
      <c r="I24" s="186">
        <f>5081521.924</f>
        <v>5081521.9239999996</v>
      </c>
      <c r="J24" s="55">
        <f>7855890490/1000</f>
        <v>7855890.4900000002</v>
      </c>
      <c r="K24" s="55">
        <f>29500826017/1000</f>
        <v>29500826.017000001</v>
      </c>
      <c r="L24" s="55">
        <f>232315417/1000</f>
        <v>232315.41699999999</v>
      </c>
      <c r="M24" s="119">
        <f>H24-(I24+J24+K24+L24)</f>
        <v>0</v>
      </c>
      <c r="N24" s="57" t="s">
        <v>123</v>
      </c>
      <c r="O24" s="55" t="s">
        <v>112</v>
      </c>
      <c r="P24" s="55" t="s">
        <v>112</v>
      </c>
      <c r="Q24" s="55">
        <f>6933129/1000</f>
        <v>6933.1289999999999</v>
      </c>
      <c r="R24" s="55" t="s">
        <v>112</v>
      </c>
      <c r="S24" s="55" t="s">
        <v>112</v>
      </c>
      <c r="T24" s="55">
        <f t="shared" si="2"/>
        <v>42677486.977000006</v>
      </c>
      <c r="U24" s="55">
        <f>42679343267/1000</f>
        <v>42679343.266999997</v>
      </c>
      <c r="V24" s="55">
        <f t="shared" si="3"/>
        <v>1856.2899999916553</v>
      </c>
      <c r="W24" s="54" t="str">
        <f>'1.2'!F23</f>
        <v>88-з</v>
      </c>
      <c r="X24" s="53">
        <f>'1.1'!H23</f>
        <v>44545</v>
      </c>
      <c r="Y24" s="58" t="s">
        <v>400</v>
      </c>
      <c r="Z24" s="58">
        <v>11</v>
      </c>
      <c r="AA24" s="138" t="s">
        <v>523</v>
      </c>
      <c r="AB24" s="181" t="s">
        <v>112</v>
      </c>
    </row>
    <row r="25" spans="1:42" ht="15" customHeight="1">
      <c r="A25" s="228" t="s">
        <v>422</v>
      </c>
      <c r="B25" s="50" t="s">
        <v>385</v>
      </c>
      <c r="C25" s="51">
        <f t="shared" si="1"/>
        <v>0</v>
      </c>
      <c r="D25" s="51"/>
      <c r="E25" s="52">
        <f t="shared" si="5"/>
        <v>0</v>
      </c>
      <c r="F25" s="56" t="s">
        <v>123</v>
      </c>
      <c r="G25" s="56" t="s">
        <v>123</v>
      </c>
      <c r="H25" s="55" t="s">
        <v>112</v>
      </c>
      <c r="I25" s="55">
        <f>14555.4+385444.6</f>
        <v>400000</v>
      </c>
      <c r="J25" s="55">
        <f>5882457.9+389424.8</f>
        <v>6271882.7000000002</v>
      </c>
      <c r="K25" s="55">
        <f>956809.5+579245+116998+25673.2+39964.4</f>
        <v>1718690.0999999999</v>
      </c>
      <c r="L25" s="55">
        <v>788044.4</v>
      </c>
      <c r="M25" s="119" t="s">
        <v>112</v>
      </c>
      <c r="N25" s="57" t="s">
        <v>123</v>
      </c>
      <c r="O25" s="55" t="s">
        <v>112</v>
      </c>
      <c r="P25" s="55" t="s">
        <v>112</v>
      </c>
      <c r="Q25" s="55" t="s">
        <v>112</v>
      </c>
      <c r="R25" s="55">
        <v>7496382.0999999996</v>
      </c>
      <c r="S25" s="55" t="s">
        <v>112</v>
      </c>
      <c r="T25" s="55">
        <f t="shared" si="2"/>
        <v>16674999.300000001</v>
      </c>
      <c r="U25" s="55">
        <v>53658940.299999997</v>
      </c>
      <c r="V25" s="55">
        <f t="shared" si="3"/>
        <v>36983941</v>
      </c>
      <c r="W25" s="54" t="str">
        <f>'1.2'!F24</f>
        <v>33</v>
      </c>
      <c r="X25" s="53">
        <f>'1.1'!H24</f>
        <v>44524</v>
      </c>
      <c r="Y25" s="58">
        <v>7</v>
      </c>
      <c r="Z25" s="58" t="s">
        <v>112</v>
      </c>
      <c r="AA25" s="185" t="s">
        <v>487</v>
      </c>
      <c r="AB25" s="181" t="s">
        <v>112</v>
      </c>
    </row>
    <row r="26" spans="1:42" ht="15" customHeight="1">
      <c r="A26" s="227" t="s">
        <v>18</v>
      </c>
      <c r="B26" s="47"/>
      <c r="C26" s="47"/>
      <c r="D26" s="47"/>
      <c r="E26" s="47"/>
      <c r="F26" s="65"/>
      <c r="G26" s="65"/>
      <c r="H26" s="61"/>
      <c r="I26" s="61"/>
      <c r="J26" s="61"/>
      <c r="K26" s="61"/>
      <c r="L26" s="61"/>
      <c r="M26" s="126" t="s">
        <v>112</v>
      </c>
      <c r="N26" s="61"/>
      <c r="O26" s="61"/>
      <c r="P26" s="61"/>
      <c r="Q26" s="61"/>
      <c r="R26" s="62"/>
      <c r="S26" s="62"/>
      <c r="T26" s="62"/>
      <c r="U26" s="62"/>
      <c r="V26" s="62"/>
      <c r="W26" s="59"/>
      <c r="X26" s="60"/>
      <c r="Y26" s="124"/>
      <c r="Z26" s="49"/>
      <c r="AA26" s="151"/>
    </row>
    <row r="27" spans="1:42" s="7" customFormat="1" ht="15" customHeight="1">
      <c r="A27" s="228" t="s">
        <v>19</v>
      </c>
      <c r="B27" s="50" t="s">
        <v>384</v>
      </c>
      <c r="C27" s="51">
        <f t="shared" si="1"/>
        <v>1</v>
      </c>
      <c r="D27" s="51"/>
      <c r="E27" s="52">
        <f t="shared" ref="E27:E37" si="6">C27*(1-D27)</f>
        <v>1</v>
      </c>
      <c r="F27" s="64" t="s">
        <v>439</v>
      </c>
      <c r="G27" s="64" t="s">
        <v>122</v>
      </c>
      <c r="H27" s="55" t="s">
        <v>112</v>
      </c>
      <c r="I27" s="55">
        <v>1309000</v>
      </c>
      <c r="J27" s="55">
        <v>4976977.9000000004</v>
      </c>
      <c r="K27" s="55">
        <v>9011114.6999999993</v>
      </c>
      <c r="L27" s="55">
        <v>1417077.2</v>
      </c>
      <c r="M27" s="119" t="s">
        <v>112</v>
      </c>
      <c r="N27" s="57" t="s">
        <v>123</v>
      </c>
      <c r="O27" s="55" t="s">
        <v>112</v>
      </c>
      <c r="P27" s="55" t="s">
        <v>112</v>
      </c>
      <c r="Q27" s="55" t="s">
        <v>112</v>
      </c>
      <c r="R27" s="55" t="s">
        <v>112</v>
      </c>
      <c r="S27" s="55" t="s">
        <v>112</v>
      </c>
      <c r="T27" s="55">
        <f t="shared" si="2"/>
        <v>16714169.799999999</v>
      </c>
      <c r="U27" s="55">
        <v>16727616.299999999</v>
      </c>
      <c r="V27" s="55">
        <f t="shared" si="3"/>
        <v>13446.5</v>
      </c>
      <c r="W27" s="54" t="str">
        <f>'1.2'!F26</f>
        <v>2656-ЗРК</v>
      </c>
      <c r="X27" s="53">
        <f>'1.1'!H26</f>
        <v>44545</v>
      </c>
      <c r="Y27" s="58">
        <v>5</v>
      </c>
      <c r="Z27" s="58" t="s">
        <v>112</v>
      </c>
      <c r="AA27" s="138" t="s">
        <v>664</v>
      </c>
      <c r="AB27" s="180" t="s">
        <v>112</v>
      </c>
      <c r="AC27" s="80"/>
    </row>
    <row r="28" spans="1:42" ht="15" customHeight="1">
      <c r="A28" s="228" t="s">
        <v>20</v>
      </c>
      <c r="B28" s="50" t="s">
        <v>384</v>
      </c>
      <c r="C28" s="51">
        <f t="shared" si="1"/>
        <v>1</v>
      </c>
      <c r="D28" s="51"/>
      <c r="E28" s="52">
        <f t="shared" si="6"/>
        <v>1</v>
      </c>
      <c r="F28" s="64" t="s">
        <v>439</v>
      </c>
      <c r="G28" s="64" t="s">
        <v>122</v>
      </c>
      <c r="H28" s="55">
        <v>29695219.100000001</v>
      </c>
      <c r="I28" s="55">
        <v>3948773.6</v>
      </c>
      <c r="J28" s="55">
        <v>6668136.9000000004</v>
      </c>
      <c r="K28" s="55">
        <v>18320111.899999999</v>
      </c>
      <c r="L28" s="55">
        <v>758196.7</v>
      </c>
      <c r="M28" s="119">
        <f t="shared" ref="M28:M30" si="7">H28-(I28+J28+K28+L28)</f>
        <v>0</v>
      </c>
      <c r="N28" s="57" t="s">
        <v>123</v>
      </c>
      <c r="O28" s="55" t="s">
        <v>112</v>
      </c>
      <c r="P28" s="55" t="s">
        <v>112</v>
      </c>
      <c r="Q28" s="55" t="s">
        <v>112</v>
      </c>
      <c r="R28" s="55" t="s">
        <v>112</v>
      </c>
      <c r="S28" s="55" t="s">
        <v>112</v>
      </c>
      <c r="T28" s="55">
        <f t="shared" si="2"/>
        <v>29695219.099999998</v>
      </c>
      <c r="U28" s="55">
        <v>30027277.500000007</v>
      </c>
      <c r="V28" s="55">
        <f t="shared" si="3"/>
        <v>332058.40000000969</v>
      </c>
      <c r="W28" s="54" t="str">
        <f>'1.2'!F27</f>
        <v>136-РЗ</v>
      </c>
      <c r="X28" s="53">
        <f>'1.1'!H27</f>
        <v>44537</v>
      </c>
      <c r="Y28" s="58">
        <v>3</v>
      </c>
      <c r="Z28" s="58" t="s">
        <v>112</v>
      </c>
      <c r="AA28" s="138" t="s">
        <v>524</v>
      </c>
      <c r="AB28" s="180" t="s">
        <v>112</v>
      </c>
    </row>
    <row r="29" spans="1:42" ht="15" customHeight="1">
      <c r="A29" s="228" t="s">
        <v>21</v>
      </c>
      <c r="B29" s="50" t="s">
        <v>384</v>
      </c>
      <c r="C29" s="51">
        <f t="shared" si="1"/>
        <v>1</v>
      </c>
      <c r="D29" s="51"/>
      <c r="E29" s="52">
        <f t="shared" si="6"/>
        <v>1</v>
      </c>
      <c r="F29" s="64" t="s">
        <v>439</v>
      </c>
      <c r="G29" s="64" t="s">
        <v>122</v>
      </c>
      <c r="H29" s="55">
        <f>35689012426.74/1000</f>
        <v>35689012.426739998</v>
      </c>
      <c r="I29" s="55">
        <f>1966492406.88/1000</f>
        <v>1966492.4068800001</v>
      </c>
      <c r="J29" s="55">
        <f>11684122604.22/1000</f>
        <v>11684122.604219999</v>
      </c>
      <c r="K29" s="55">
        <f>19683783682.75/1000</f>
        <v>19683783.682750002</v>
      </c>
      <c r="L29" s="55">
        <f>2354613732.89/1000</f>
        <v>2354613.7328899996</v>
      </c>
      <c r="M29" s="119">
        <f t="shared" si="7"/>
        <v>0</v>
      </c>
      <c r="N29" s="57" t="s">
        <v>123</v>
      </c>
      <c r="O29" s="55" t="s">
        <v>112</v>
      </c>
      <c r="P29" s="55" t="s">
        <v>112</v>
      </c>
      <c r="Q29" s="55" t="s">
        <v>112</v>
      </c>
      <c r="R29" s="55" t="s">
        <v>112</v>
      </c>
      <c r="S29" s="55" t="s">
        <v>112</v>
      </c>
      <c r="T29" s="55">
        <f t="shared" si="2"/>
        <v>35689012.426740006</v>
      </c>
      <c r="U29" s="55">
        <f>35699572426.74/1000</f>
        <v>35699572.426739998</v>
      </c>
      <c r="V29" s="55">
        <f t="shared" si="3"/>
        <v>10559.999999992549</v>
      </c>
      <c r="W29" s="54" t="str">
        <f>'1.2'!F28</f>
        <v>522-31-ОЗ</v>
      </c>
      <c r="X29" s="53">
        <f>'1.1'!H28</f>
        <v>44552</v>
      </c>
      <c r="Y29" s="58">
        <v>9</v>
      </c>
      <c r="Z29" s="58" t="s">
        <v>112</v>
      </c>
      <c r="AA29" s="138" t="s">
        <v>532</v>
      </c>
      <c r="AB29" s="180" t="s">
        <v>112</v>
      </c>
    </row>
    <row r="30" spans="1:42" ht="15" customHeight="1">
      <c r="A30" s="228" t="s">
        <v>22</v>
      </c>
      <c r="B30" s="50" t="s">
        <v>384</v>
      </c>
      <c r="C30" s="51">
        <f t="shared" si="1"/>
        <v>1</v>
      </c>
      <c r="D30" s="51"/>
      <c r="E30" s="52">
        <f t="shared" si="6"/>
        <v>1</v>
      </c>
      <c r="F30" s="64" t="s">
        <v>439</v>
      </c>
      <c r="G30" s="64" t="s">
        <v>122</v>
      </c>
      <c r="H30" s="55">
        <v>34550494.899999999</v>
      </c>
      <c r="I30" s="55">
        <v>5088905.0999999996</v>
      </c>
      <c r="J30" s="55">
        <v>13381062.1</v>
      </c>
      <c r="K30" s="55">
        <v>16002452</v>
      </c>
      <c r="L30" s="55">
        <v>78075.7</v>
      </c>
      <c r="M30" s="119">
        <f t="shared" si="7"/>
        <v>0</v>
      </c>
      <c r="N30" s="57" t="s">
        <v>123</v>
      </c>
      <c r="O30" s="55" t="s">
        <v>112</v>
      </c>
      <c r="P30" s="55" t="s">
        <v>112</v>
      </c>
      <c r="Q30" s="55" t="s">
        <v>112</v>
      </c>
      <c r="R30" s="55" t="s">
        <v>112</v>
      </c>
      <c r="S30" s="55" t="s">
        <v>112</v>
      </c>
      <c r="T30" s="55">
        <f t="shared" si="2"/>
        <v>34550494.900000006</v>
      </c>
      <c r="U30" s="55">
        <v>34595884.399999991</v>
      </c>
      <c r="V30" s="55">
        <f t="shared" si="3"/>
        <v>45389.499999985099</v>
      </c>
      <c r="W30" s="54" t="str">
        <f>'1.2'!F29</f>
        <v>5035-ОЗ</v>
      </c>
      <c r="X30" s="53">
        <f>'1.1'!H29</f>
        <v>44546</v>
      </c>
      <c r="Y30" s="58">
        <v>6</v>
      </c>
      <c r="Z30" s="58" t="s">
        <v>112</v>
      </c>
      <c r="AA30" s="138" t="s">
        <v>525</v>
      </c>
      <c r="AB30" s="180" t="s">
        <v>112</v>
      </c>
    </row>
    <row r="31" spans="1:42" s="32" customFormat="1" ht="15" customHeight="1">
      <c r="A31" s="228" t="s">
        <v>23</v>
      </c>
      <c r="B31" s="50" t="s">
        <v>385</v>
      </c>
      <c r="C31" s="51">
        <f t="shared" si="1"/>
        <v>0</v>
      </c>
      <c r="D31" s="51"/>
      <c r="E31" s="52">
        <f t="shared" si="6"/>
        <v>0</v>
      </c>
      <c r="F31" s="64" t="s">
        <v>123</v>
      </c>
      <c r="G31" s="64" t="s">
        <v>123</v>
      </c>
      <c r="H31" s="55">
        <v>26750749.440000001</v>
      </c>
      <c r="I31" s="55">
        <f>1698350+100000+130000</f>
        <v>1928350</v>
      </c>
      <c r="J31" s="55">
        <v>11304934.449999999</v>
      </c>
      <c r="K31" s="55">
        <v>12066957.73</v>
      </c>
      <c r="L31" s="55" t="s">
        <v>112</v>
      </c>
      <c r="M31" s="119" t="s">
        <v>112</v>
      </c>
      <c r="N31" s="57" t="s">
        <v>123</v>
      </c>
      <c r="O31" s="55" t="s">
        <v>112</v>
      </c>
      <c r="P31" s="55" t="s">
        <v>112</v>
      </c>
      <c r="Q31" s="55" t="s">
        <v>112</v>
      </c>
      <c r="R31" s="55" t="s">
        <v>112</v>
      </c>
      <c r="S31" s="55" t="s">
        <v>112</v>
      </c>
      <c r="T31" s="55">
        <f t="shared" si="2"/>
        <v>25300242.18</v>
      </c>
      <c r="U31" s="55">
        <v>28347019.549999997</v>
      </c>
      <c r="V31" s="55">
        <f t="shared" si="3"/>
        <v>3046777.3699999973</v>
      </c>
      <c r="W31" s="54">
        <f>'1.2'!F30</f>
        <v>27</v>
      </c>
      <c r="X31" s="53">
        <f>'1.1'!H30</f>
        <v>44536</v>
      </c>
      <c r="Y31" s="58" t="s">
        <v>394</v>
      </c>
      <c r="Z31" s="58">
        <v>16</v>
      </c>
      <c r="AA31" s="185" t="s">
        <v>490</v>
      </c>
      <c r="AB31" s="180" t="s">
        <v>112</v>
      </c>
      <c r="AC31" s="81"/>
    </row>
    <row r="32" spans="1:42" ht="15" customHeight="1">
      <c r="A32" s="228" t="s">
        <v>24</v>
      </c>
      <c r="B32" s="50" t="s">
        <v>385</v>
      </c>
      <c r="C32" s="51">
        <f t="shared" si="1"/>
        <v>0</v>
      </c>
      <c r="D32" s="51"/>
      <c r="E32" s="52">
        <f t="shared" si="6"/>
        <v>0</v>
      </c>
      <c r="F32" s="64" t="s">
        <v>501</v>
      </c>
      <c r="G32" s="64" t="s">
        <v>501</v>
      </c>
      <c r="H32" s="55">
        <v>54682349</v>
      </c>
      <c r="I32" s="55">
        <v>3729007.6</v>
      </c>
      <c r="J32" s="55">
        <v>17353124.399999999</v>
      </c>
      <c r="K32" s="55">
        <v>32927926.5</v>
      </c>
      <c r="L32" s="55">
        <v>672290.5</v>
      </c>
      <c r="M32" s="119">
        <f>H32-(I32+J32+K32+L32)</f>
        <v>0</v>
      </c>
      <c r="N32" s="57" t="s">
        <v>501</v>
      </c>
      <c r="O32" s="55">
        <v>150000</v>
      </c>
      <c r="P32" s="55">
        <v>900422.7</v>
      </c>
      <c r="Q32" s="55">
        <f>9000</f>
        <v>9000</v>
      </c>
      <c r="R32" s="55">
        <v>5140980</v>
      </c>
      <c r="S32" s="55" t="s">
        <v>112</v>
      </c>
      <c r="T32" s="55">
        <f t="shared" si="2"/>
        <v>60882751.700000003</v>
      </c>
      <c r="U32" s="55">
        <f>60732751.7</f>
        <v>60732751.700000003</v>
      </c>
      <c r="V32" s="55">
        <f>U32-T32</f>
        <v>-150000</v>
      </c>
      <c r="W32" s="54" t="str">
        <f>'1.2'!F31</f>
        <v>148-оз</v>
      </c>
      <c r="X32" s="53">
        <f>'1.1'!H31</f>
        <v>44551</v>
      </c>
      <c r="Y32" s="58">
        <v>7</v>
      </c>
      <c r="Z32" s="58">
        <v>11</v>
      </c>
      <c r="AA32" s="185" t="s">
        <v>493</v>
      </c>
      <c r="AB32" s="182" t="s">
        <v>112</v>
      </c>
    </row>
    <row r="33" spans="1:29" ht="15" customHeight="1">
      <c r="A33" s="228" t="s">
        <v>25</v>
      </c>
      <c r="B33" s="50" t="s">
        <v>384</v>
      </c>
      <c r="C33" s="51">
        <f t="shared" si="1"/>
        <v>1</v>
      </c>
      <c r="D33" s="51"/>
      <c r="E33" s="52">
        <f t="shared" si="6"/>
        <v>1</v>
      </c>
      <c r="F33" s="64" t="s">
        <v>439</v>
      </c>
      <c r="G33" s="64" t="s">
        <v>122</v>
      </c>
      <c r="H33" s="55">
        <v>37268691</v>
      </c>
      <c r="I33" s="55">
        <v>5859742.7000000002</v>
      </c>
      <c r="J33" s="55">
        <v>11570328.4</v>
      </c>
      <c r="K33" s="55">
        <v>17085603.100000001</v>
      </c>
      <c r="L33" s="55">
        <v>2753016.7</v>
      </c>
      <c r="M33" s="119">
        <f t="shared" ref="M33:M34" si="8">H33-(I33+J33+K33+L33)</f>
        <v>9.9999994039535522E-2</v>
      </c>
      <c r="N33" s="57" t="s">
        <v>123</v>
      </c>
      <c r="O33" s="55" t="s">
        <v>112</v>
      </c>
      <c r="P33" s="55" t="s">
        <v>112</v>
      </c>
      <c r="Q33" s="55" t="s">
        <v>112</v>
      </c>
      <c r="R33" s="55" t="s">
        <v>112</v>
      </c>
      <c r="S33" s="55" t="s">
        <v>112</v>
      </c>
      <c r="T33" s="55">
        <f t="shared" si="2"/>
        <v>37268691</v>
      </c>
      <c r="U33" s="55">
        <v>37837287.526159987</v>
      </c>
      <c r="V33" s="55">
        <f>U33-T33</f>
        <v>568596.52615998685</v>
      </c>
      <c r="W33" s="54" t="str">
        <f>'1.2'!F32</f>
        <v xml:space="preserve"> 2712-01-ЗМО</v>
      </c>
      <c r="X33" s="53">
        <f>'1.1'!H32</f>
        <v>44546</v>
      </c>
      <c r="Y33" s="58">
        <v>11</v>
      </c>
      <c r="Z33" s="58" t="s">
        <v>112</v>
      </c>
      <c r="AA33" s="138" t="s">
        <v>527</v>
      </c>
      <c r="AB33" s="180" t="s">
        <v>112</v>
      </c>
      <c r="AC33" s="108"/>
    </row>
    <row r="34" spans="1:29" ht="15" customHeight="1">
      <c r="A34" s="228" t="s">
        <v>26</v>
      </c>
      <c r="B34" s="50" t="s">
        <v>384</v>
      </c>
      <c r="C34" s="51">
        <f t="shared" si="1"/>
        <v>1</v>
      </c>
      <c r="D34" s="51"/>
      <c r="E34" s="52">
        <f t="shared" si="6"/>
        <v>1</v>
      </c>
      <c r="F34" s="64" t="s">
        <v>439</v>
      </c>
      <c r="G34" s="64" t="s">
        <v>122</v>
      </c>
      <c r="H34" s="55">
        <v>11221058.06302</v>
      </c>
      <c r="I34" s="55">
        <v>485257.6</v>
      </c>
      <c r="J34" s="55">
        <v>4853073.7630200004</v>
      </c>
      <c r="K34" s="55">
        <v>5458422.4000000004</v>
      </c>
      <c r="L34" s="55">
        <v>424304.3</v>
      </c>
      <c r="M34" s="119">
        <f t="shared" si="8"/>
        <v>0</v>
      </c>
      <c r="N34" s="57" t="s">
        <v>501</v>
      </c>
      <c r="O34" s="55" t="s">
        <v>112</v>
      </c>
      <c r="P34" s="55" t="s">
        <v>112</v>
      </c>
      <c r="Q34" s="55" t="s">
        <v>112</v>
      </c>
      <c r="R34" s="55">
        <v>2633245.7000000002</v>
      </c>
      <c r="S34" s="55" t="s">
        <v>112</v>
      </c>
      <c r="T34" s="55">
        <f t="shared" si="2"/>
        <v>13854303.763020001</v>
      </c>
      <c r="U34" s="55">
        <f>11242243.86</f>
        <v>11242243.859999999</v>
      </c>
      <c r="V34" s="55">
        <f t="shared" ref="V34:V49" si="9">U34-T34</f>
        <v>-2612059.9030200019</v>
      </c>
      <c r="W34" s="54" t="str">
        <f>'1.2'!F33</f>
        <v>48-ОЗ</v>
      </c>
      <c r="X34" s="53">
        <f>'1.1'!H33</f>
        <v>44552</v>
      </c>
      <c r="Y34" s="58">
        <v>14</v>
      </c>
      <c r="Z34" s="58">
        <v>12</v>
      </c>
      <c r="AA34" s="138" t="s">
        <v>665</v>
      </c>
      <c r="AB34" s="180" t="s">
        <v>112</v>
      </c>
      <c r="AC34" s="84"/>
    </row>
    <row r="35" spans="1:29" ht="15" customHeight="1">
      <c r="A35" s="228" t="s">
        <v>27</v>
      </c>
      <c r="B35" s="50" t="s">
        <v>383</v>
      </c>
      <c r="C35" s="51">
        <f t="shared" si="1"/>
        <v>2</v>
      </c>
      <c r="D35" s="51"/>
      <c r="E35" s="52">
        <f t="shared" si="6"/>
        <v>2</v>
      </c>
      <c r="F35" s="64" t="s">
        <v>447</v>
      </c>
      <c r="G35" s="64" t="s">
        <v>122</v>
      </c>
      <c r="H35" s="55" t="s">
        <v>112</v>
      </c>
      <c r="I35" s="55">
        <v>2216367</v>
      </c>
      <c r="J35" s="55">
        <v>6834325</v>
      </c>
      <c r="K35" s="55">
        <v>4888022</v>
      </c>
      <c r="L35" s="55">
        <v>2259666</v>
      </c>
      <c r="M35" s="119" t="s">
        <v>112</v>
      </c>
      <c r="N35" s="57" t="s">
        <v>122</v>
      </c>
      <c r="O35" s="55">
        <v>880</v>
      </c>
      <c r="P35" s="55" t="s">
        <v>112</v>
      </c>
      <c r="Q35" s="55">
        <v>20000</v>
      </c>
      <c r="R35" s="55" t="s">
        <v>112</v>
      </c>
      <c r="S35" s="55" t="s">
        <v>112</v>
      </c>
      <c r="T35" s="55">
        <f>SUM(I35:S35)</f>
        <v>16219260</v>
      </c>
      <c r="U35" s="55">
        <v>16219260</v>
      </c>
      <c r="V35" s="55">
        <f t="shared" si="9"/>
        <v>0</v>
      </c>
      <c r="W35" s="54" t="str">
        <f>'1.2'!F34</f>
        <v>2233-ОЗ</v>
      </c>
      <c r="X35" s="53">
        <f>'1.1'!H34</f>
        <v>44559</v>
      </c>
      <c r="Y35" s="58">
        <v>8</v>
      </c>
      <c r="Z35" s="58" t="s">
        <v>112</v>
      </c>
      <c r="AA35" s="138" t="s">
        <v>112</v>
      </c>
    </row>
    <row r="36" spans="1:29" ht="15" customHeight="1">
      <c r="A36" s="228" t="s">
        <v>680</v>
      </c>
      <c r="B36" s="50" t="s">
        <v>384</v>
      </c>
      <c r="C36" s="51">
        <f t="shared" si="1"/>
        <v>1</v>
      </c>
      <c r="D36" s="51"/>
      <c r="E36" s="52">
        <f t="shared" si="6"/>
        <v>1</v>
      </c>
      <c r="F36" s="64" t="s">
        <v>439</v>
      </c>
      <c r="G36" s="64" t="s">
        <v>122</v>
      </c>
      <c r="H36" s="55">
        <v>11211791.199999999</v>
      </c>
      <c r="I36" s="55">
        <f>8304782.3+20000</f>
        <v>8324782.2999999998</v>
      </c>
      <c r="J36" s="55">
        <v>300000</v>
      </c>
      <c r="K36" s="55">
        <v>2587008.9</v>
      </c>
      <c r="L36" s="55" t="s">
        <v>112</v>
      </c>
      <c r="M36" s="119" t="s">
        <v>112</v>
      </c>
      <c r="N36" s="57" t="s">
        <v>123</v>
      </c>
      <c r="O36" s="55" t="s">
        <v>112</v>
      </c>
      <c r="P36" s="55" t="s">
        <v>112</v>
      </c>
      <c r="Q36" s="55" t="s">
        <v>112</v>
      </c>
      <c r="R36" s="55" t="s">
        <v>112</v>
      </c>
      <c r="S36" s="55" t="s">
        <v>112</v>
      </c>
      <c r="T36" s="55">
        <f t="shared" si="2"/>
        <v>11211791.200000001</v>
      </c>
      <c r="U36" s="55">
        <v>31408207.800000016</v>
      </c>
      <c r="V36" s="55">
        <f t="shared" si="9"/>
        <v>20196416.600000016</v>
      </c>
      <c r="W36" s="54" t="str">
        <f>'1.2'!F35</f>
        <v>558-119</v>
      </c>
      <c r="X36" s="53">
        <f>'1.1'!H35</f>
        <v>44525</v>
      </c>
      <c r="Y36" s="58" t="s">
        <v>395</v>
      </c>
      <c r="Z36" s="58" t="s">
        <v>112</v>
      </c>
      <c r="AA36" s="138" t="s">
        <v>528</v>
      </c>
      <c r="AB36" s="180" t="s">
        <v>112</v>
      </c>
      <c r="AC36" s="127"/>
    </row>
    <row r="37" spans="1:29" ht="15" customHeight="1">
      <c r="A37" s="228" t="s">
        <v>28</v>
      </c>
      <c r="B37" s="50" t="s">
        <v>383</v>
      </c>
      <c r="C37" s="51">
        <f t="shared" si="1"/>
        <v>2</v>
      </c>
      <c r="D37" s="51"/>
      <c r="E37" s="52">
        <f t="shared" si="6"/>
        <v>2</v>
      </c>
      <c r="F37" s="64" t="s">
        <v>447</v>
      </c>
      <c r="G37" s="64" t="s">
        <v>122</v>
      </c>
      <c r="H37" s="55">
        <v>788529.8</v>
      </c>
      <c r="I37" s="55">
        <v>115582.1</v>
      </c>
      <c r="J37" s="55">
        <v>648749.30000000005</v>
      </c>
      <c r="K37" s="55">
        <v>24198.400000000001</v>
      </c>
      <c r="L37" s="55" t="s">
        <v>112</v>
      </c>
      <c r="M37" s="119" t="s">
        <v>112</v>
      </c>
      <c r="N37" s="57" t="s">
        <v>122</v>
      </c>
      <c r="O37" s="55">
        <v>235.6</v>
      </c>
      <c r="P37" s="55" t="s">
        <v>112</v>
      </c>
      <c r="Q37" s="55">
        <f>37904.5+1000</f>
        <v>38904.5</v>
      </c>
      <c r="R37" s="55" t="s">
        <v>112</v>
      </c>
      <c r="S37" s="55" t="s">
        <v>112</v>
      </c>
      <c r="T37" s="55">
        <f t="shared" si="2"/>
        <v>827669.9</v>
      </c>
      <c r="U37" s="55">
        <v>827669.89999999991</v>
      </c>
      <c r="V37" s="55">
        <f t="shared" si="9"/>
        <v>0</v>
      </c>
      <c r="W37" s="54" t="str">
        <f>'1.2'!F36</f>
        <v>303-ОЗ</v>
      </c>
      <c r="X37" s="53">
        <f>'1.1'!H36</f>
        <v>44553</v>
      </c>
      <c r="Y37" s="63" t="s">
        <v>396</v>
      </c>
      <c r="Z37" s="58" t="s">
        <v>112</v>
      </c>
      <c r="AA37" s="138" t="s">
        <v>112</v>
      </c>
    </row>
    <row r="38" spans="1:29" ht="15" customHeight="1">
      <c r="A38" s="227" t="s">
        <v>29</v>
      </c>
      <c r="B38" s="47"/>
      <c r="C38" s="47"/>
      <c r="D38" s="47"/>
      <c r="E38" s="47"/>
      <c r="F38" s="65"/>
      <c r="G38" s="65"/>
      <c r="H38" s="62"/>
      <c r="I38" s="62"/>
      <c r="J38" s="62"/>
      <c r="K38" s="62"/>
      <c r="L38" s="62"/>
      <c r="M38" s="128" t="s">
        <v>112</v>
      </c>
      <c r="N38" s="62"/>
      <c r="O38" s="62"/>
      <c r="P38" s="62"/>
      <c r="Q38" s="62"/>
      <c r="R38" s="62"/>
      <c r="S38" s="62"/>
      <c r="T38" s="62"/>
      <c r="U38" s="62"/>
      <c r="V38" s="62"/>
      <c r="W38" s="59"/>
      <c r="X38" s="60"/>
      <c r="Y38" s="124"/>
      <c r="Z38" s="49"/>
      <c r="AA38" s="151"/>
    </row>
    <row r="39" spans="1:29" s="32" customFormat="1" ht="15" customHeight="1">
      <c r="A39" s="228" t="s">
        <v>30</v>
      </c>
      <c r="B39" s="50" t="s">
        <v>385</v>
      </c>
      <c r="C39" s="51">
        <f t="shared" si="1"/>
        <v>0</v>
      </c>
      <c r="D39" s="51"/>
      <c r="E39" s="52">
        <f t="shared" ref="E39:E45" si="10">C39*(1-D39)</f>
        <v>0</v>
      </c>
      <c r="F39" s="56" t="s">
        <v>501</v>
      </c>
      <c r="G39" s="56" t="s">
        <v>501</v>
      </c>
      <c r="H39" s="55" t="s">
        <v>112</v>
      </c>
      <c r="I39" s="55">
        <v>1212552</v>
      </c>
      <c r="J39" s="55">
        <v>2896107.2</v>
      </c>
      <c r="K39" s="55">
        <f>4137776+42896.9+13627.2</f>
        <v>4194300.1</v>
      </c>
      <c r="L39" s="55">
        <v>550681.69999999995</v>
      </c>
      <c r="M39" s="119" t="s">
        <v>112</v>
      </c>
      <c r="N39" s="57" t="s">
        <v>501</v>
      </c>
      <c r="O39" s="55" t="s">
        <v>112</v>
      </c>
      <c r="P39" s="55" t="s">
        <v>112</v>
      </c>
      <c r="Q39" s="55" t="s">
        <v>112</v>
      </c>
      <c r="R39" s="55" t="s">
        <v>112</v>
      </c>
      <c r="S39" s="55" t="s">
        <v>112</v>
      </c>
      <c r="T39" s="55">
        <f t="shared" si="2"/>
        <v>8853641</v>
      </c>
      <c r="U39" s="55">
        <v>8900921.5000000019</v>
      </c>
      <c r="V39" s="55">
        <f t="shared" si="9"/>
        <v>47280.500000001863</v>
      </c>
      <c r="W39" s="54">
        <f>'1.2'!F38</f>
        <v>22</v>
      </c>
      <c r="X39" s="53">
        <f>'1.1'!H38</f>
        <v>44540</v>
      </c>
      <c r="Y39" s="58" t="s">
        <v>397</v>
      </c>
      <c r="Z39" s="58">
        <v>18</v>
      </c>
      <c r="AA39" s="185" t="s">
        <v>604</v>
      </c>
      <c r="AB39" s="180" t="s">
        <v>112</v>
      </c>
      <c r="AC39" s="81"/>
    </row>
    <row r="40" spans="1:29" s="32" customFormat="1" ht="15" customHeight="1">
      <c r="A40" s="228" t="s">
        <v>31</v>
      </c>
      <c r="B40" s="50" t="s">
        <v>384</v>
      </c>
      <c r="C40" s="51">
        <f t="shared" si="1"/>
        <v>1</v>
      </c>
      <c r="D40" s="51"/>
      <c r="E40" s="52">
        <f t="shared" si="10"/>
        <v>1</v>
      </c>
      <c r="F40" s="64" t="s">
        <v>439</v>
      </c>
      <c r="G40" s="64" t="s">
        <v>122</v>
      </c>
      <c r="H40" s="55">
        <v>6228486.7999999998</v>
      </c>
      <c r="I40" s="55">
        <v>5000</v>
      </c>
      <c r="J40" s="55">
        <v>2190463.9</v>
      </c>
      <c r="K40" s="55">
        <v>3430755.3</v>
      </c>
      <c r="L40" s="55">
        <v>602267.6</v>
      </c>
      <c r="M40" s="119">
        <f t="shared" ref="M40" si="11">H40-(I40+J40+K40+L40)</f>
        <v>0</v>
      </c>
      <c r="N40" s="57" t="s">
        <v>123</v>
      </c>
      <c r="O40" s="55">
        <v>192.9</v>
      </c>
      <c r="P40" s="55" t="s">
        <v>112</v>
      </c>
      <c r="Q40" s="55" t="s">
        <v>112</v>
      </c>
      <c r="R40" s="55" t="s">
        <v>112</v>
      </c>
      <c r="S40" s="55" t="s">
        <v>112</v>
      </c>
      <c r="T40" s="55">
        <f t="shared" si="2"/>
        <v>6228679.6999999993</v>
      </c>
      <c r="U40" s="55">
        <v>6240793.4999999981</v>
      </c>
      <c r="V40" s="55">
        <f t="shared" si="9"/>
        <v>12113.799999998882</v>
      </c>
      <c r="W40" s="54" t="str">
        <f>'1.2'!F39</f>
        <v>193-VI-З</v>
      </c>
      <c r="X40" s="53">
        <f>'1.1'!H39</f>
        <v>44544</v>
      </c>
      <c r="Y40" s="58" t="s">
        <v>529</v>
      </c>
      <c r="Z40" s="58">
        <v>10</v>
      </c>
      <c r="AA40" s="138" t="s">
        <v>533</v>
      </c>
      <c r="AB40" s="180" t="s">
        <v>112</v>
      </c>
      <c r="AC40" s="81"/>
    </row>
    <row r="41" spans="1:29" s="32" customFormat="1" ht="15" customHeight="1">
      <c r="A41" s="228" t="s">
        <v>89</v>
      </c>
      <c r="B41" s="50" t="s">
        <v>384</v>
      </c>
      <c r="C41" s="51">
        <f t="shared" si="1"/>
        <v>1</v>
      </c>
      <c r="D41" s="51"/>
      <c r="E41" s="52">
        <f t="shared" si="10"/>
        <v>1</v>
      </c>
      <c r="F41" s="64" t="s">
        <v>439</v>
      </c>
      <c r="G41" s="64" t="s">
        <v>122</v>
      </c>
      <c r="H41" s="55" t="s">
        <v>112</v>
      </c>
      <c r="I41" s="55">
        <f>1321484.551</f>
        <v>1321484.551</v>
      </c>
      <c r="J41" s="55">
        <f>11645959.63416</f>
        <v>11645959.634160001</v>
      </c>
      <c r="K41" s="55">
        <f>25455501.23356</f>
        <v>25455501.23356</v>
      </c>
      <c r="L41" s="55">
        <f>89000000/1000</f>
        <v>89000</v>
      </c>
      <c r="M41" s="119" t="s">
        <v>112</v>
      </c>
      <c r="N41" s="57" t="s">
        <v>123</v>
      </c>
      <c r="O41" s="55">
        <f>2141.1</f>
        <v>2141.1</v>
      </c>
      <c r="P41" s="55" t="s">
        <v>112</v>
      </c>
      <c r="Q41" s="55" t="s">
        <v>112</v>
      </c>
      <c r="R41" s="55" t="s">
        <v>112</v>
      </c>
      <c r="S41" s="55" t="s">
        <v>112</v>
      </c>
      <c r="T41" s="55">
        <f t="shared" si="2"/>
        <v>38514086.518720001</v>
      </c>
      <c r="U41" s="55">
        <f>38516096518.72/1000</f>
        <v>38516096.518720001</v>
      </c>
      <c r="V41" s="55">
        <f t="shared" si="9"/>
        <v>2010</v>
      </c>
      <c r="W41" s="54" t="str">
        <f>'1.2'!F40</f>
        <v>242-ЗРК/2021</v>
      </c>
      <c r="X41" s="53">
        <f>'1.1'!H40</f>
        <v>44539</v>
      </c>
      <c r="Y41" s="58" t="s">
        <v>399</v>
      </c>
      <c r="Z41" s="63" t="s">
        <v>492</v>
      </c>
      <c r="AA41" s="138" t="s">
        <v>534</v>
      </c>
      <c r="AB41" s="180" t="s">
        <v>112</v>
      </c>
      <c r="AC41" s="81"/>
    </row>
    <row r="42" spans="1:29" s="36" customFormat="1" ht="15" customHeight="1">
      <c r="A42" s="228" t="s">
        <v>32</v>
      </c>
      <c r="B42" s="50" t="s">
        <v>383</v>
      </c>
      <c r="C42" s="51">
        <f t="shared" si="1"/>
        <v>2</v>
      </c>
      <c r="D42" s="51"/>
      <c r="E42" s="52">
        <f t="shared" si="10"/>
        <v>2</v>
      </c>
      <c r="F42" s="64" t="s">
        <v>447</v>
      </c>
      <c r="G42" s="64" t="s">
        <v>122</v>
      </c>
      <c r="H42" s="55">
        <v>99377035.5</v>
      </c>
      <c r="I42" s="55">
        <v>9325793.3000000007</v>
      </c>
      <c r="J42" s="55">
        <v>31386406.300000001</v>
      </c>
      <c r="K42" s="55">
        <v>58139213</v>
      </c>
      <c r="L42" s="55">
        <v>525622.9</v>
      </c>
      <c r="M42" s="119" t="s">
        <v>112</v>
      </c>
      <c r="N42" s="57" t="s">
        <v>122</v>
      </c>
      <c r="O42" s="55">
        <v>2442.1</v>
      </c>
      <c r="P42" s="55" t="s">
        <v>112</v>
      </c>
      <c r="Q42" s="55">
        <v>28000</v>
      </c>
      <c r="R42" s="55" t="s">
        <v>112</v>
      </c>
      <c r="S42" s="55">
        <v>1421</v>
      </c>
      <c r="T42" s="55">
        <f t="shared" si="2"/>
        <v>99408898.599999994</v>
      </c>
      <c r="U42" s="55">
        <v>99408898.599999964</v>
      </c>
      <c r="V42" s="55">
        <f t="shared" si="9"/>
        <v>0</v>
      </c>
      <c r="W42" s="54" t="str">
        <f>'1.2'!F41</f>
        <v>4616-КЗ</v>
      </c>
      <c r="X42" s="53">
        <f>'1.1'!H41</f>
        <v>44552</v>
      </c>
      <c r="Y42" s="58" t="s">
        <v>398</v>
      </c>
      <c r="Z42" s="58" t="s">
        <v>399</v>
      </c>
      <c r="AA42" s="138" t="s">
        <v>112</v>
      </c>
      <c r="AB42" s="180"/>
      <c r="AC42" s="82"/>
    </row>
    <row r="43" spans="1:29" s="7" customFormat="1" ht="15" customHeight="1">
      <c r="A43" s="228" t="s">
        <v>33</v>
      </c>
      <c r="B43" s="50" t="s">
        <v>385</v>
      </c>
      <c r="C43" s="51">
        <f t="shared" si="1"/>
        <v>0</v>
      </c>
      <c r="D43" s="51"/>
      <c r="E43" s="52">
        <f t="shared" si="10"/>
        <v>0</v>
      </c>
      <c r="F43" s="64" t="s">
        <v>501</v>
      </c>
      <c r="G43" s="64" t="s">
        <v>123</v>
      </c>
      <c r="H43" s="55" t="s">
        <v>112</v>
      </c>
      <c r="I43" s="55">
        <f>520996.2+91068</f>
        <v>612064.19999999995</v>
      </c>
      <c r="J43" s="55">
        <f>4744158.6</f>
        <v>4744158.5999999996</v>
      </c>
      <c r="K43" s="55">
        <f>9127054.8+ 22662.4</f>
        <v>9149717.2000000011</v>
      </c>
      <c r="L43" s="55">
        <f>987703+70000+774602.2</f>
        <v>1832305.2</v>
      </c>
      <c r="M43" s="119" t="s">
        <v>112</v>
      </c>
      <c r="N43" s="57" t="s">
        <v>501</v>
      </c>
      <c r="O43" s="55">
        <v>1178.4000000000001</v>
      </c>
      <c r="P43" s="55" t="s">
        <v>112</v>
      </c>
      <c r="Q43" s="55">
        <v>4670211.9000000004</v>
      </c>
      <c r="R43" s="55" t="s">
        <v>112</v>
      </c>
      <c r="S43" s="55" t="s">
        <v>112</v>
      </c>
      <c r="T43" s="55">
        <f t="shared" si="2"/>
        <v>21009635.5</v>
      </c>
      <c r="U43" s="55">
        <v>16520972.400000004</v>
      </c>
      <c r="V43" s="55">
        <f t="shared" si="9"/>
        <v>-4488663.0999999959</v>
      </c>
      <c r="W43" s="54" t="str">
        <f>'1.2'!F42</f>
        <v>128/2021-ОЗ</v>
      </c>
      <c r="X43" s="53">
        <f>'1.1'!H42</f>
        <v>44547</v>
      </c>
      <c r="Y43" s="58" t="s">
        <v>496</v>
      </c>
      <c r="Z43" s="58" t="s">
        <v>112</v>
      </c>
      <c r="AA43" s="185" t="s">
        <v>514</v>
      </c>
      <c r="AB43" s="180" t="s">
        <v>112</v>
      </c>
      <c r="AC43" s="80"/>
    </row>
    <row r="44" spans="1:29" s="32" customFormat="1" ht="15" customHeight="1">
      <c r="A44" s="228" t="s">
        <v>34</v>
      </c>
      <c r="B44" s="50" t="s">
        <v>385</v>
      </c>
      <c r="C44" s="51">
        <f t="shared" si="1"/>
        <v>0</v>
      </c>
      <c r="D44" s="51"/>
      <c r="E44" s="52">
        <f t="shared" si="10"/>
        <v>0</v>
      </c>
      <c r="F44" s="64" t="s">
        <v>123</v>
      </c>
      <c r="G44" s="64" t="s">
        <v>123</v>
      </c>
      <c r="H44" s="55" t="s">
        <v>112</v>
      </c>
      <c r="I44" s="55">
        <f>150000+155338</f>
        <v>305338</v>
      </c>
      <c r="J44" s="55" t="s">
        <v>112</v>
      </c>
      <c r="K44" s="55" t="s">
        <v>112</v>
      </c>
      <c r="L44" s="55" t="s">
        <v>112</v>
      </c>
      <c r="M44" s="119" t="s">
        <v>112</v>
      </c>
      <c r="N44" s="57" t="s">
        <v>123</v>
      </c>
      <c r="O44" s="55">
        <v>3788.7</v>
      </c>
      <c r="P44" s="55" t="s">
        <v>112</v>
      </c>
      <c r="Q44" s="55">
        <v>59555</v>
      </c>
      <c r="R44" s="55" t="s">
        <v>112</v>
      </c>
      <c r="S44" s="55" t="s">
        <v>112</v>
      </c>
      <c r="T44" s="55">
        <f t="shared" si="2"/>
        <v>368681.7</v>
      </c>
      <c r="U44" s="55">
        <v>37574589.899999999</v>
      </c>
      <c r="V44" s="55">
        <f t="shared" si="9"/>
        <v>37205908.199999996</v>
      </c>
      <c r="W44" s="54" t="str">
        <f>'1.2'!F43</f>
        <v>124-ОД</v>
      </c>
      <c r="X44" s="53">
        <f>'1.1'!H43</f>
        <v>44538</v>
      </c>
      <c r="Y44" s="58" t="s">
        <v>494</v>
      </c>
      <c r="Z44" s="58" t="s">
        <v>495</v>
      </c>
      <c r="AA44" s="185" t="s">
        <v>606</v>
      </c>
      <c r="AB44" s="180" t="s">
        <v>112</v>
      </c>
      <c r="AC44" s="81"/>
    </row>
    <row r="45" spans="1:29" s="32" customFormat="1" ht="15" customHeight="1">
      <c r="A45" s="228" t="s">
        <v>35</v>
      </c>
      <c r="B45" s="50" t="s">
        <v>383</v>
      </c>
      <c r="C45" s="51">
        <f t="shared" si="1"/>
        <v>2</v>
      </c>
      <c r="D45" s="51"/>
      <c r="E45" s="52">
        <f t="shared" si="10"/>
        <v>2</v>
      </c>
      <c r="F45" s="64" t="s">
        <v>447</v>
      </c>
      <c r="G45" s="64" t="s">
        <v>122</v>
      </c>
      <c r="H45" s="55">
        <v>145035465.80000001</v>
      </c>
      <c r="I45" s="55">
        <v>11643435</v>
      </c>
      <c r="J45" s="55">
        <v>40885487.399999999</v>
      </c>
      <c r="K45" s="55">
        <v>87682643.700000003</v>
      </c>
      <c r="L45" s="55">
        <v>4823899.7</v>
      </c>
      <c r="M45" s="119" t="s">
        <v>112</v>
      </c>
      <c r="N45" s="57" t="s">
        <v>122</v>
      </c>
      <c r="O45" s="55" t="s">
        <v>112</v>
      </c>
      <c r="P45" s="55" t="s">
        <v>112</v>
      </c>
      <c r="Q45" s="55">
        <v>15000</v>
      </c>
      <c r="R45" s="55" t="s">
        <v>112</v>
      </c>
      <c r="S45" s="55" t="s">
        <v>112</v>
      </c>
      <c r="T45" s="55">
        <f t="shared" si="2"/>
        <v>145050465.79999998</v>
      </c>
      <c r="U45" s="55">
        <v>145050465.79999998</v>
      </c>
      <c r="V45" s="55">
        <f t="shared" si="9"/>
        <v>0</v>
      </c>
      <c r="W45" s="54" t="str">
        <f>'1.2'!F44</f>
        <v>635-ЗС</v>
      </c>
      <c r="X45" s="53">
        <f>'1.1'!H44</f>
        <v>44546</v>
      </c>
      <c r="Y45" s="58">
        <v>7</v>
      </c>
      <c r="Z45" s="58" t="s">
        <v>112</v>
      </c>
      <c r="AA45" s="138" t="s">
        <v>112</v>
      </c>
      <c r="AB45" s="180"/>
      <c r="AC45" s="81"/>
    </row>
    <row r="46" spans="1:29" s="32" customFormat="1" ht="15" customHeight="1">
      <c r="A46" s="228" t="s">
        <v>423</v>
      </c>
      <c r="B46" s="50" t="s">
        <v>384</v>
      </c>
      <c r="C46" s="51">
        <f t="shared" si="1"/>
        <v>1</v>
      </c>
      <c r="D46" s="51"/>
      <c r="E46" s="52">
        <f>C46*(1-D46)</f>
        <v>1</v>
      </c>
      <c r="F46" s="64" t="s">
        <v>439</v>
      </c>
      <c r="G46" s="64" t="s">
        <v>122</v>
      </c>
      <c r="H46" s="55" t="s">
        <v>112</v>
      </c>
      <c r="I46" s="55">
        <v>99797.9</v>
      </c>
      <c r="J46" s="55" t="s">
        <v>112</v>
      </c>
      <c r="K46" s="55">
        <f>515103.9+1767.6</f>
        <v>516871.5</v>
      </c>
      <c r="L46" s="55" t="s">
        <v>112</v>
      </c>
      <c r="M46" s="119" t="s">
        <v>112</v>
      </c>
      <c r="N46" s="57" t="s">
        <v>123</v>
      </c>
      <c r="O46" s="55" t="s">
        <v>112</v>
      </c>
      <c r="P46" s="55" t="s">
        <v>112</v>
      </c>
      <c r="Q46" s="55">
        <f>345</f>
        <v>345</v>
      </c>
      <c r="R46" s="55">
        <v>2168386.4</v>
      </c>
      <c r="S46" s="55" t="s">
        <v>112</v>
      </c>
      <c r="T46" s="55">
        <f t="shared" si="2"/>
        <v>2785400.8</v>
      </c>
      <c r="U46" s="55">
        <v>619937</v>
      </c>
      <c r="V46" s="55">
        <f t="shared" si="9"/>
        <v>-2165463.7999999998</v>
      </c>
      <c r="W46" s="54" t="str">
        <f>'1.2'!F45</f>
        <v>681-ЗС</v>
      </c>
      <c r="X46" s="53">
        <f>'1.1'!H45</f>
        <v>44553</v>
      </c>
      <c r="Y46" s="58" t="s">
        <v>497</v>
      </c>
      <c r="Z46" s="58" t="s">
        <v>112</v>
      </c>
      <c r="AA46" s="138" t="s">
        <v>530</v>
      </c>
      <c r="AB46" s="183" t="s">
        <v>112</v>
      </c>
      <c r="AC46" s="81"/>
    </row>
    <row r="47" spans="1:29" ht="15" customHeight="1">
      <c r="A47" s="227" t="s">
        <v>36</v>
      </c>
      <c r="B47" s="47"/>
      <c r="C47" s="47"/>
      <c r="D47" s="47"/>
      <c r="E47" s="47"/>
      <c r="F47" s="65"/>
      <c r="G47" s="65"/>
      <c r="H47" s="62"/>
      <c r="I47" s="62"/>
      <c r="J47" s="62"/>
      <c r="K47" s="62"/>
      <c r="L47" s="62"/>
      <c r="M47" s="128" t="s">
        <v>112</v>
      </c>
      <c r="N47" s="62"/>
      <c r="O47" s="62"/>
      <c r="P47" s="62"/>
      <c r="Q47" s="62"/>
      <c r="R47" s="62"/>
      <c r="S47" s="62"/>
      <c r="T47" s="62"/>
      <c r="U47" s="62"/>
      <c r="V47" s="62"/>
      <c r="W47" s="59"/>
      <c r="X47" s="46"/>
      <c r="Y47" s="124"/>
      <c r="Z47" s="49"/>
      <c r="AA47" s="151"/>
    </row>
    <row r="48" spans="1:29" s="32" customFormat="1" ht="15" customHeight="1">
      <c r="A48" s="228" t="s">
        <v>37</v>
      </c>
      <c r="B48" s="50" t="s">
        <v>385</v>
      </c>
      <c r="C48" s="51">
        <f t="shared" si="1"/>
        <v>0</v>
      </c>
      <c r="D48" s="51"/>
      <c r="E48" s="52">
        <f t="shared" ref="E48:E54" si="12">C48*(1-D48)</f>
        <v>0</v>
      </c>
      <c r="F48" s="64" t="s">
        <v>123</v>
      </c>
      <c r="G48" s="64" t="s">
        <v>123</v>
      </c>
      <c r="H48" s="55" t="s">
        <v>112</v>
      </c>
      <c r="I48" s="55" t="s">
        <v>112</v>
      </c>
      <c r="J48" s="55">
        <v>21595499.100000001</v>
      </c>
      <c r="K48" s="55" t="s">
        <v>112</v>
      </c>
      <c r="L48" s="55" t="s">
        <v>112</v>
      </c>
      <c r="M48" s="119" t="s">
        <v>112</v>
      </c>
      <c r="N48" s="57" t="s">
        <v>441</v>
      </c>
      <c r="O48" s="55" t="s">
        <v>112</v>
      </c>
      <c r="P48" s="55" t="s">
        <v>112</v>
      </c>
      <c r="Q48" s="55" t="s">
        <v>112</v>
      </c>
      <c r="R48" s="55" t="s">
        <v>112</v>
      </c>
      <c r="S48" s="55" t="s">
        <v>112</v>
      </c>
      <c r="T48" s="55">
        <f t="shared" si="2"/>
        <v>21595499.100000001</v>
      </c>
      <c r="U48" s="55">
        <v>67858980.24999997</v>
      </c>
      <c r="V48" s="55">
        <f t="shared" si="9"/>
        <v>46263481.149999969</v>
      </c>
      <c r="W48" s="54">
        <f>'1.2'!F47</f>
        <v>91</v>
      </c>
      <c r="X48" s="53">
        <f>'1.1'!H47</f>
        <v>44559</v>
      </c>
      <c r="Y48" s="58">
        <v>8</v>
      </c>
      <c r="Z48" s="58">
        <v>19</v>
      </c>
      <c r="AA48" s="185" t="s">
        <v>499</v>
      </c>
      <c r="AB48" s="180" t="s">
        <v>112</v>
      </c>
      <c r="AC48" s="81"/>
    </row>
    <row r="49" spans="1:36" ht="15" customHeight="1">
      <c r="A49" s="228" t="s">
        <v>38</v>
      </c>
      <c r="B49" s="50" t="s">
        <v>385</v>
      </c>
      <c r="C49" s="51">
        <f t="shared" si="1"/>
        <v>0</v>
      </c>
      <c r="D49" s="51"/>
      <c r="E49" s="52">
        <f t="shared" si="12"/>
        <v>0</v>
      </c>
      <c r="F49" s="64" t="s">
        <v>501</v>
      </c>
      <c r="G49" s="64" t="s">
        <v>123</v>
      </c>
      <c r="H49" s="55" t="s">
        <v>112</v>
      </c>
      <c r="I49" s="55" t="s">
        <v>112</v>
      </c>
      <c r="J49" s="55" t="s">
        <v>112</v>
      </c>
      <c r="K49" s="55" t="s">
        <v>112</v>
      </c>
      <c r="L49" s="55" t="s">
        <v>112</v>
      </c>
      <c r="M49" s="119" t="s">
        <v>112</v>
      </c>
      <c r="N49" s="57" t="s">
        <v>501</v>
      </c>
      <c r="O49" s="55" t="s">
        <v>112</v>
      </c>
      <c r="P49" s="55" t="s">
        <v>112</v>
      </c>
      <c r="Q49" s="55" t="s">
        <v>112</v>
      </c>
      <c r="R49" s="55">
        <v>1483107.8</v>
      </c>
      <c r="S49" s="55" t="s">
        <v>112</v>
      </c>
      <c r="T49" s="55">
        <f t="shared" si="2"/>
        <v>1483107.8</v>
      </c>
      <c r="U49" s="55">
        <v>1390506.3999999997</v>
      </c>
      <c r="V49" s="55">
        <f t="shared" si="9"/>
        <v>-92601.400000000373</v>
      </c>
      <c r="W49" s="54" t="str">
        <f>'1.2'!F48</f>
        <v>56-РЗ</v>
      </c>
      <c r="X49" s="53">
        <f>'1.1'!H48</f>
        <v>44554</v>
      </c>
      <c r="Y49" s="58" t="s">
        <v>163</v>
      </c>
      <c r="Z49" s="58" t="s">
        <v>414</v>
      </c>
      <c r="AA49" s="185" t="s">
        <v>607</v>
      </c>
      <c r="AB49" s="180" t="s">
        <v>112</v>
      </c>
    </row>
    <row r="50" spans="1:36" ht="14.5" customHeight="1">
      <c r="A50" s="228" t="s">
        <v>39</v>
      </c>
      <c r="B50" s="50" t="s">
        <v>385</v>
      </c>
      <c r="C50" s="51">
        <f t="shared" si="1"/>
        <v>0</v>
      </c>
      <c r="D50" s="51"/>
      <c r="E50" s="52">
        <f t="shared" si="12"/>
        <v>0</v>
      </c>
      <c r="F50" s="64" t="s">
        <v>501</v>
      </c>
      <c r="G50" s="64" t="s">
        <v>501</v>
      </c>
      <c r="H50" s="55">
        <v>11174103</v>
      </c>
      <c r="I50" s="55">
        <v>624504.30000000005</v>
      </c>
      <c r="J50" s="55">
        <v>2278635.7999999998</v>
      </c>
      <c r="K50" s="55">
        <v>8194426.7999999998</v>
      </c>
      <c r="L50" s="55">
        <v>76536.2</v>
      </c>
      <c r="M50" s="119">
        <f>H50-(I50+J50+K50+L50)</f>
        <v>-9.9999997764825821E-2</v>
      </c>
      <c r="N50" s="57" t="s">
        <v>504</v>
      </c>
      <c r="O50" s="55" t="s">
        <v>112</v>
      </c>
      <c r="P50" s="55" t="s">
        <v>112</v>
      </c>
      <c r="Q50" s="55" t="s">
        <v>112</v>
      </c>
      <c r="R50" s="55" t="s">
        <v>112</v>
      </c>
      <c r="S50" s="55" t="s">
        <v>112</v>
      </c>
      <c r="T50" s="55">
        <f t="shared" si="2"/>
        <v>11174103</v>
      </c>
      <c r="U50" s="55">
        <v>11173365.1</v>
      </c>
      <c r="V50" s="55">
        <f>U50-T50</f>
        <v>-737.90000000037253</v>
      </c>
      <c r="W50" s="54" t="str">
        <f>'1.2'!F49</f>
        <v>50-РЗ</v>
      </c>
      <c r="X50" s="53">
        <f>'1.1'!H49</f>
        <v>44558</v>
      </c>
      <c r="Y50" s="58">
        <v>7</v>
      </c>
      <c r="Z50" s="58" t="s">
        <v>399</v>
      </c>
      <c r="AA50" s="185" t="s">
        <v>500</v>
      </c>
      <c r="AB50" s="180" t="s">
        <v>112</v>
      </c>
    </row>
    <row r="51" spans="1:36" ht="15" customHeight="1">
      <c r="A51" s="228" t="s">
        <v>40</v>
      </c>
      <c r="B51" s="50" t="s">
        <v>384</v>
      </c>
      <c r="C51" s="51">
        <f t="shared" si="1"/>
        <v>1</v>
      </c>
      <c r="D51" s="51"/>
      <c r="E51" s="52">
        <f t="shared" si="12"/>
        <v>1</v>
      </c>
      <c r="F51" s="64" t="s">
        <v>439</v>
      </c>
      <c r="G51" s="64" t="s">
        <v>122</v>
      </c>
      <c r="H51" s="55">
        <v>14560824.5</v>
      </c>
      <c r="I51" s="55">
        <v>1120671.2</v>
      </c>
      <c r="J51" s="55">
        <v>1552035.7</v>
      </c>
      <c r="K51" s="55">
        <v>11444848.699999999</v>
      </c>
      <c r="L51" s="55">
        <v>443268.9</v>
      </c>
      <c r="M51" s="119">
        <f>H51-(I51+J51+K51+L51)</f>
        <v>0</v>
      </c>
      <c r="N51" s="57" t="s">
        <v>123</v>
      </c>
      <c r="O51" s="55" t="s">
        <v>112</v>
      </c>
      <c r="P51" s="55" t="s">
        <v>112</v>
      </c>
      <c r="Q51" s="55" t="s">
        <v>112</v>
      </c>
      <c r="R51" s="55" t="s">
        <v>112</v>
      </c>
      <c r="S51" s="55" t="s">
        <v>112</v>
      </c>
      <c r="T51" s="55">
        <f t="shared" si="2"/>
        <v>14560824.5</v>
      </c>
      <c r="U51" s="55">
        <v>14568420.800000001</v>
      </c>
      <c r="V51" s="55">
        <f>U51-T51</f>
        <v>7596.3000000007451</v>
      </c>
      <c r="W51" s="54" t="str">
        <f>'1.2'!F50</f>
        <v>112-РЗ</v>
      </c>
      <c r="X51" s="53">
        <f>'1.1'!H50</f>
        <v>44558</v>
      </c>
      <c r="Y51" s="58">
        <v>13</v>
      </c>
      <c r="Z51" s="58" t="s">
        <v>112</v>
      </c>
      <c r="AA51" s="138" t="s">
        <v>531</v>
      </c>
      <c r="AB51" s="180" t="s">
        <v>112</v>
      </c>
    </row>
    <row r="52" spans="1:36" s="32" customFormat="1" ht="15" customHeight="1">
      <c r="A52" s="228" t="s">
        <v>681</v>
      </c>
      <c r="B52" s="50" t="s">
        <v>385</v>
      </c>
      <c r="C52" s="51">
        <f t="shared" si="1"/>
        <v>0</v>
      </c>
      <c r="D52" s="51"/>
      <c r="E52" s="52">
        <f t="shared" si="12"/>
        <v>0</v>
      </c>
      <c r="F52" s="64" t="s">
        <v>123</v>
      </c>
      <c r="G52" s="64" t="s">
        <v>123</v>
      </c>
      <c r="H52" s="55">
        <v>8638010.5</v>
      </c>
      <c r="I52" s="55" t="s">
        <v>112</v>
      </c>
      <c r="J52" s="55">
        <v>1030211.3</v>
      </c>
      <c r="K52" s="55" t="s">
        <v>112</v>
      </c>
      <c r="L52" s="55" t="s">
        <v>112</v>
      </c>
      <c r="M52" s="119" t="s">
        <v>112</v>
      </c>
      <c r="N52" s="57" t="s">
        <v>441</v>
      </c>
      <c r="O52" s="55" t="s">
        <v>112</v>
      </c>
      <c r="P52" s="55" t="s">
        <v>112</v>
      </c>
      <c r="Q52" s="55" t="s">
        <v>112</v>
      </c>
      <c r="R52" s="55" t="s">
        <v>112</v>
      </c>
      <c r="S52" s="55" t="s">
        <v>112</v>
      </c>
      <c r="T52" s="55">
        <f t="shared" si="2"/>
        <v>1030211.3</v>
      </c>
      <c r="U52" s="55">
        <v>8668010.5999999996</v>
      </c>
      <c r="V52" s="55">
        <f>U52-T52</f>
        <v>7637799.2999999998</v>
      </c>
      <c r="W52" s="54" t="str">
        <f>'1.2'!F51</f>
        <v>117-РЗ</v>
      </c>
      <c r="X52" s="53">
        <f>'1.1'!H51</f>
        <v>44554</v>
      </c>
      <c r="Y52" s="58">
        <v>7</v>
      </c>
      <c r="Z52" s="58" t="s">
        <v>401</v>
      </c>
      <c r="AA52" s="185" t="s">
        <v>499</v>
      </c>
      <c r="AB52" s="180" t="s">
        <v>112</v>
      </c>
      <c r="AC52" s="81"/>
    </row>
    <row r="53" spans="1:36" ht="15" customHeight="1">
      <c r="A53" s="228" t="s">
        <v>41</v>
      </c>
      <c r="B53" s="50" t="s">
        <v>383</v>
      </c>
      <c r="C53" s="51">
        <f t="shared" si="1"/>
        <v>2</v>
      </c>
      <c r="D53" s="51"/>
      <c r="E53" s="52">
        <f t="shared" si="12"/>
        <v>2</v>
      </c>
      <c r="F53" s="64" t="s">
        <v>447</v>
      </c>
      <c r="G53" s="64" t="s">
        <v>122</v>
      </c>
      <c r="H53" s="55" t="s">
        <v>112</v>
      </c>
      <c r="I53" s="55">
        <v>3740292.7</v>
      </c>
      <c r="J53" s="55">
        <v>3277827.8</v>
      </c>
      <c r="K53" s="55">
        <v>27579805.199999999</v>
      </c>
      <c r="L53" s="55">
        <v>110000</v>
      </c>
      <c r="M53" s="119" t="s">
        <v>112</v>
      </c>
      <c r="N53" s="57" t="s">
        <v>504</v>
      </c>
      <c r="O53" s="55" t="s">
        <v>112</v>
      </c>
      <c r="P53" s="55" t="s">
        <v>112</v>
      </c>
      <c r="Q53" s="55" t="s">
        <v>112</v>
      </c>
      <c r="R53" s="55" t="s">
        <v>112</v>
      </c>
      <c r="S53" s="55" t="s">
        <v>112</v>
      </c>
      <c r="T53" s="55">
        <f t="shared" si="2"/>
        <v>34707925.700000003</v>
      </c>
      <c r="U53" s="55">
        <v>34707925.599999994</v>
      </c>
      <c r="V53" s="55">
        <f>U53-T53</f>
        <v>-0.10000000894069672</v>
      </c>
      <c r="W53" s="54" t="str">
        <f>'1.2'!F52</f>
        <v>65-РЗ</v>
      </c>
      <c r="X53" s="53">
        <f>'1.1'!H52</f>
        <v>44551</v>
      </c>
      <c r="Y53" s="58">
        <v>7</v>
      </c>
      <c r="Z53" s="58" t="s">
        <v>112</v>
      </c>
      <c r="AA53" s="138" t="s">
        <v>516</v>
      </c>
      <c r="AB53" s="180" t="s">
        <v>112</v>
      </c>
    </row>
    <row r="54" spans="1:36" ht="15" customHeight="1">
      <c r="A54" s="228" t="s">
        <v>42</v>
      </c>
      <c r="B54" s="50" t="s">
        <v>383</v>
      </c>
      <c r="C54" s="51">
        <f t="shared" si="1"/>
        <v>2</v>
      </c>
      <c r="D54" s="51"/>
      <c r="E54" s="52">
        <f t="shared" si="12"/>
        <v>2</v>
      </c>
      <c r="F54" s="64" t="s">
        <v>447</v>
      </c>
      <c r="G54" s="64" t="s">
        <v>122</v>
      </c>
      <c r="H54" s="55">
        <v>73556806.530000001</v>
      </c>
      <c r="I54" s="55">
        <v>9962529.7699999996</v>
      </c>
      <c r="J54" s="55">
        <v>17036287.809999999</v>
      </c>
      <c r="K54" s="55">
        <v>45773185.700000003</v>
      </c>
      <c r="L54" s="55">
        <v>784803.25</v>
      </c>
      <c r="M54" s="119" t="s">
        <v>112</v>
      </c>
      <c r="N54" s="57" t="s">
        <v>122</v>
      </c>
      <c r="O54" s="55">
        <v>3210.3</v>
      </c>
      <c r="P54" s="55" t="s">
        <v>112</v>
      </c>
      <c r="Q54" s="55">
        <v>23936.67</v>
      </c>
      <c r="R54" s="55">
        <v>33304.25</v>
      </c>
      <c r="S54" s="55" t="s">
        <v>112</v>
      </c>
      <c r="T54" s="55">
        <f t="shared" si="2"/>
        <v>73617257.75</v>
      </c>
      <c r="U54" s="55">
        <v>73617257.75</v>
      </c>
      <c r="V54" s="55">
        <f>U54-T54</f>
        <v>0</v>
      </c>
      <c r="W54" s="54" t="str">
        <f>'1.2'!F53</f>
        <v>119-кз</v>
      </c>
      <c r="X54" s="53">
        <f>'1.1'!H53</f>
        <v>44537</v>
      </c>
      <c r="Y54" s="58">
        <v>7</v>
      </c>
      <c r="Z54" s="58" t="s">
        <v>415</v>
      </c>
      <c r="AA54" s="138" t="s">
        <v>112</v>
      </c>
    </row>
    <row r="55" spans="1:36" ht="15" customHeight="1">
      <c r="A55" s="227" t="s">
        <v>43</v>
      </c>
      <c r="B55" s="47"/>
      <c r="C55" s="47"/>
      <c r="D55" s="47"/>
      <c r="E55" s="47"/>
      <c r="F55" s="65"/>
      <c r="G55" s="65"/>
      <c r="H55" s="62"/>
      <c r="I55" s="62"/>
      <c r="J55" s="62"/>
      <c r="K55" s="62"/>
      <c r="L55" s="62"/>
      <c r="M55" s="128"/>
      <c r="N55" s="62"/>
      <c r="O55" s="62"/>
      <c r="P55" s="62"/>
      <c r="Q55" s="62"/>
      <c r="R55" s="62"/>
      <c r="S55" s="62"/>
      <c r="T55" s="62"/>
      <c r="U55" s="62"/>
      <c r="V55" s="62"/>
      <c r="W55" s="59"/>
      <c r="X55" s="60"/>
      <c r="Y55" s="124"/>
      <c r="Z55" s="49"/>
      <c r="AA55" s="151"/>
    </row>
    <row r="56" spans="1:36" s="32" customFormat="1" ht="15" customHeight="1">
      <c r="A56" s="228" t="s">
        <v>44</v>
      </c>
      <c r="B56" s="50" t="s">
        <v>383</v>
      </c>
      <c r="C56" s="51">
        <f t="shared" si="1"/>
        <v>2</v>
      </c>
      <c r="D56" s="51"/>
      <c r="E56" s="52">
        <f t="shared" ref="E56:E69" si="13">C56*(1-D56)</f>
        <v>2</v>
      </c>
      <c r="F56" s="64" t="s">
        <v>447</v>
      </c>
      <c r="G56" s="64" t="s">
        <v>122</v>
      </c>
      <c r="H56" s="55">
        <f>85331026818.9/1000</f>
        <v>85331026.818899989</v>
      </c>
      <c r="I56" s="55">
        <f>9161103100/1000</f>
        <v>9161103.0999999996</v>
      </c>
      <c r="J56" s="55">
        <f>25903123981.44/1000</f>
        <v>25903123.98144</v>
      </c>
      <c r="K56" s="55">
        <f>44733169724.6/1000</f>
        <v>44733169.724600002</v>
      </c>
      <c r="L56" s="55">
        <f>5533630012.86/1000</f>
        <v>5533630.0128599992</v>
      </c>
      <c r="M56" s="119"/>
      <c r="N56" s="57" t="s">
        <v>122</v>
      </c>
      <c r="O56" s="55">
        <f>6375600/1000</f>
        <v>6375.6</v>
      </c>
      <c r="P56" s="55" t="s">
        <v>112</v>
      </c>
      <c r="Q56" s="55">
        <f>123497500/1000</f>
        <v>123497.5</v>
      </c>
      <c r="R56" s="55">
        <f>1357881500/1000</f>
        <v>1357881.5</v>
      </c>
      <c r="S56" s="55" t="s">
        <v>112</v>
      </c>
      <c r="T56" s="55">
        <f t="shared" si="2"/>
        <v>86818781.418899998</v>
      </c>
      <c r="U56" s="55">
        <v>86818781.418899998</v>
      </c>
      <c r="V56" s="55">
        <f>U56-T56</f>
        <v>0</v>
      </c>
      <c r="W56" s="54" t="str">
        <f>'1.2'!F55</f>
        <v>486-з</v>
      </c>
      <c r="X56" s="53">
        <f>'1.1'!H55</f>
        <v>44550</v>
      </c>
      <c r="Y56" s="58" t="s">
        <v>402</v>
      </c>
      <c r="Z56" s="58" t="s">
        <v>517</v>
      </c>
      <c r="AA56" s="138" t="s">
        <v>112</v>
      </c>
      <c r="AB56" s="180"/>
      <c r="AC56" s="79"/>
      <c r="AD56"/>
      <c r="AE56"/>
      <c r="AF56" s="7"/>
      <c r="AG56"/>
      <c r="AH56"/>
      <c r="AI56"/>
      <c r="AJ56"/>
    </row>
    <row r="57" spans="1:36" ht="15" customHeight="1">
      <c r="A57" s="228" t="s">
        <v>682</v>
      </c>
      <c r="B57" s="50" t="s">
        <v>384</v>
      </c>
      <c r="C57" s="51">
        <f t="shared" si="1"/>
        <v>1</v>
      </c>
      <c r="D57" s="51"/>
      <c r="E57" s="52">
        <f t="shared" si="13"/>
        <v>1</v>
      </c>
      <c r="F57" s="64" t="s">
        <v>439</v>
      </c>
      <c r="G57" s="64" t="s">
        <v>122</v>
      </c>
      <c r="H57" s="55">
        <v>13492202.4</v>
      </c>
      <c r="I57" s="55">
        <v>1128027.2</v>
      </c>
      <c r="J57" s="55">
        <v>3769441.6</v>
      </c>
      <c r="K57" s="55">
        <v>7436049.4000000004</v>
      </c>
      <c r="L57" s="55">
        <v>1158684.2</v>
      </c>
      <c r="M57" s="119">
        <f>H57-(I57+J57+K57+L57)</f>
        <v>0</v>
      </c>
      <c r="N57" s="57" t="s">
        <v>501</v>
      </c>
      <c r="O57" s="55" t="s">
        <v>112</v>
      </c>
      <c r="P57" s="55" t="s">
        <v>112</v>
      </c>
      <c r="Q57" s="55" t="s">
        <v>112</v>
      </c>
      <c r="R57" s="55" t="s">
        <v>112</v>
      </c>
      <c r="S57" s="55" t="s">
        <v>112</v>
      </c>
      <c r="T57" s="55">
        <f t="shared" si="2"/>
        <v>13492202.399999999</v>
      </c>
      <c r="U57" s="55">
        <v>13527182.699999999</v>
      </c>
      <c r="V57" s="55">
        <f>U57-T57</f>
        <v>34980.300000000745</v>
      </c>
      <c r="W57" s="54" t="str">
        <f>'1.2'!F56</f>
        <v xml:space="preserve"> 56-З </v>
      </c>
      <c r="X57" s="53">
        <f>'1.1'!H56</f>
        <v>44533</v>
      </c>
      <c r="Y57" s="58">
        <v>13</v>
      </c>
      <c r="Z57" s="58">
        <v>10</v>
      </c>
      <c r="AA57" s="138" t="s">
        <v>666</v>
      </c>
      <c r="AB57" s="180" t="s">
        <v>112</v>
      </c>
    </row>
    <row r="58" spans="1:36" s="32" customFormat="1" ht="15" customHeight="1">
      <c r="A58" s="228" t="s">
        <v>45</v>
      </c>
      <c r="B58" s="50" t="s">
        <v>385</v>
      </c>
      <c r="C58" s="51">
        <f t="shared" si="1"/>
        <v>0</v>
      </c>
      <c r="D58" s="51"/>
      <c r="E58" s="52">
        <f t="shared" si="13"/>
        <v>0</v>
      </c>
      <c r="F58" s="64" t="s">
        <v>123</v>
      </c>
      <c r="G58" s="64" t="s">
        <v>123</v>
      </c>
      <c r="H58" s="55" t="s">
        <v>112</v>
      </c>
      <c r="I58" s="55">
        <f>84602.5+989355.6</f>
        <v>1073958.1000000001</v>
      </c>
      <c r="J58" s="55">
        <v>5922112.0999999996</v>
      </c>
      <c r="K58" s="55" t="s">
        <v>112</v>
      </c>
      <c r="L58" s="55" t="s">
        <v>112</v>
      </c>
      <c r="M58" s="119" t="s">
        <v>112</v>
      </c>
      <c r="N58" s="57" t="s">
        <v>441</v>
      </c>
      <c r="O58" s="55">
        <v>1189.9000000000001</v>
      </c>
      <c r="P58" s="55" t="s">
        <v>112</v>
      </c>
      <c r="Q58" s="55">
        <v>14535</v>
      </c>
      <c r="R58" s="55" t="s">
        <v>112</v>
      </c>
      <c r="S58" s="55" t="s">
        <v>112</v>
      </c>
      <c r="T58" s="55">
        <f t="shared" si="2"/>
        <v>7011795.0999999996</v>
      </c>
      <c r="U58" s="55">
        <v>13174441.9</v>
      </c>
      <c r="V58" s="55">
        <f t="shared" ref="V58:V66" si="14">U58-T58</f>
        <v>6162646.8000000007</v>
      </c>
      <c r="W58" s="54" t="str">
        <f>'1.2'!F57</f>
        <v>87-З</v>
      </c>
      <c r="X58" s="53">
        <f>'1.1'!H57</f>
        <v>44557</v>
      </c>
      <c r="Y58" s="58" t="s">
        <v>403</v>
      </c>
      <c r="Z58" s="58">
        <v>8</v>
      </c>
      <c r="AA58" s="185" t="s">
        <v>499</v>
      </c>
      <c r="AB58" s="180" t="s">
        <v>112</v>
      </c>
      <c r="AC58" s="79"/>
      <c r="AD58"/>
      <c r="AE58"/>
      <c r="AF58" s="7"/>
      <c r="AG58"/>
      <c r="AH58"/>
      <c r="AI58"/>
      <c r="AJ58"/>
    </row>
    <row r="59" spans="1:36" s="32" customFormat="1" ht="15" customHeight="1">
      <c r="A59" s="228" t="s">
        <v>46</v>
      </c>
      <c r="B59" s="50" t="s">
        <v>385</v>
      </c>
      <c r="C59" s="51">
        <f t="shared" si="1"/>
        <v>0</v>
      </c>
      <c r="D59" s="51"/>
      <c r="E59" s="52">
        <f t="shared" si="13"/>
        <v>0</v>
      </c>
      <c r="F59" s="64" t="s">
        <v>123</v>
      </c>
      <c r="G59" s="64" t="s">
        <v>123</v>
      </c>
      <c r="H59" s="55" t="s">
        <v>112</v>
      </c>
      <c r="I59" s="55">
        <f>670085.3</f>
        <v>670085.30000000005</v>
      </c>
      <c r="J59" s="55" t="s">
        <v>112</v>
      </c>
      <c r="K59" s="55" t="s">
        <v>112</v>
      </c>
      <c r="L59" s="55" t="s">
        <v>112</v>
      </c>
      <c r="M59" s="119" t="s">
        <v>112</v>
      </c>
      <c r="N59" s="57" t="s">
        <v>441</v>
      </c>
      <c r="O59" s="55" t="s">
        <v>112</v>
      </c>
      <c r="P59" s="55" t="s">
        <v>112</v>
      </c>
      <c r="Q59" s="55" t="s">
        <v>112</v>
      </c>
      <c r="R59" s="55">
        <v>8915716.0999999996</v>
      </c>
      <c r="S59" s="55" t="s">
        <v>112</v>
      </c>
      <c r="T59" s="55">
        <f t="shared" si="2"/>
        <v>9585801.4000000004</v>
      </c>
      <c r="U59" s="55">
        <v>68147838.000000015</v>
      </c>
      <c r="V59" s="55">
        <f t="shared" si="14"/>
        <v>58562036.600000016</v>
      </c>
      <c r="W59" s="54" t="str">
        <f>'1.2'!F58</f>
        <v>86-ЗРТ</v>
      </c>
      <c r="X59" s="53">
        <f>'1.1'!H58</f>
        <v>44525</v>
      </c>
      <c r="Y59" s="58" t="s">
        <v>162</v>
      </c>
      <c r="Z59" s="58">
        <v>42</v>
      </c>
      <c r="AA59" s="185" t="s">
        <v>499</v>
      </c>
      <c r="AB59" s="180" t="s">
        <v>112</v>
      </c>
      <c r="AC59" s="79"/>
      <c r="AD59"/>
      <c r="AE59"/>
      <c r="AF59" s="7"/>
      <c r="AG59"/>
      <c r="AH59"/>
      <c r="AI59"/>
      <c r="AJ59"/>
    </row>
    <row r="60" spans="1:36" ht="15" customHeight="1">
      <c r="A60" s="228" t="s">
        <v>47</v>
      </c>
      <c r="B60" s="50" t="s">
        <v>385</v>
      </c>
      <c r="C60" s="51">
        <f t="shared" si="1"/>
        <v>0</v>
      </c>
      <c r="D60" s="51"/>
      <c r="E60" s="52">
        <f t="shared" si="13"/>
        <v>0</v>
      </c>
      <c r="F60" s="64" t="s">
        <v>123</v>
      </c>
      <c r="G60" s="64" t="s">
        <v>123</v>
      </c>
      <c r="H60" s="55" t="s">
        <v>112</v>
      </c>
      <c r="I60" s="55">
        <f>3203154+504447.4+14000</f>
        <v>3721601.4</v>
      </c>
      <c r="J60" s="55">
        <v>8654348.8000000007</v>
      </c>
      <c r="K60" s="55">
        <v>9064773.6999999993</v>
      </c>
      <c r="L60" s="55" t="s">
        <v>112</v>
      </c>
      <c r="M60" s="119" t="s">
        <v>112</v>
      </c>
      <c r="N60" s="57" t="s">
        <v>123</v>
      </c>
      <c r="O60" s="55" t="s">
        <v>112</v>
      </c>
      <c r="P60" s="55" t="s">
        <v>112</v>
      </c>
      <c r="Q60" s="55" t="s">
        <v>112</v>
      </c>
      <c r="R60" s="55" t="s">
        <v>112</v>
      </c>
      <c r="S60" s="55" t="s">
        <v>112</v>
      </c>
      <c r="T60" s="55">
        <f t="shared" si="2"/>
        <v>21440723.899999999</v>
      </c>
      <c r="U60" s="55">
        <v>33504361.099999998</v>
      </c>
      <c r="V60" s="55">
        <f t="shared" si="14"/>
        <v>12063637.199999999</v>
      </c>
      <c r="W60" s="54" t="str">
        <f>'1.2'!F59</f>
        <v>140-РЗ</v>
      </c>
      <c r="X60" s="53">
        <f>'1.1'!H59</f>
        <v>44557</v>
      </c>
      <c r="Y60" s="58" t="s">
        <v>404</v>
      </c>
      <c r="Z60" s="58" t="s">
        <v>390</v>
      </c>
      <c r="AA60" s="185" t="s">
        <v>487</v>
      </c>
      <c r="AB60" s="180" t="s">
        <v>112</v>
      </c>
      <c r="AF60" s="7"/>
    </row>
    <row r="61" spans="1:36" ht="15" customHeight="1">
      <c r="A61" s="228" t="s">
        <v>683</v>
      </c>
      <c r="B61" s="50" t="s">
        <v>384</v>
      </c>
      <c r="C61" s="51">
        <f t="shared" si="1"/>
        <v>1</v>
      </c>
      <c r="D61" s="51"/>
      <c r="E61" s="52">
        <f t="shared" si="13"/>
        <v>1</v>
      </c>
      <c r="F61" s="64" t="s">
        <v>439</v>
      </c>
      <c r="G61" s="64" t="s">
        <v>122</v>
      </c>
      <c r="H61" s="55">
        <v>23140984.100000001</v>
      </c>
      <c r="I61" s="55">
        <v>849848.2</v>
      </c>
      <c r="J61" s="55">
        <v>7901482.2999999998</v>
      </c>
      <c r="K61" s="55">
        <v>13663454.800000001</v>
      </c>
      <c r="L61" s="55">
        <v>726198.8</v>
      </c>
      <c r="M61" s="119">
        <f>H61-(I61+J61+K61+L61)</f>
        <v>0</v>
      </c>
      <c r="N61" s="57" t="s">
        <v>501</v>
      </c>
      <c r="O61" s="55">
        <v>3508.1</v>
      </c>
      <c r="P61" s="55" t="s">
        <v>112</v>
      </c>
      <c r="Q61" s="55">
        <v>16973.900000000001</v>
      </c>
      <c r="R61" s="55">
        <v>5570786.7999999998</v>
      </c>
      <c r="S61" s="55" t="s">
        <v>112</v>
      </c>
      <c r="T61" s="55">
        <f t="shared" si="2"/>
        <v>28732252.900000002</v>
      </c>
      <c r="U61" s="55">
        <v>23161466.099999998</v>
      </c>
      <c r="V61" s="55">
        <f t="shared" si="14"/>
        <v>-5570786.8000000045</v>
      </c>
      <c r="W61" s="54">
        <f>'1.2'!F60</f>
        <v>86</v>
      </c>
      <c r="X61" s="53">
        <f>'1.1'!H60</f>
        <v>44525</v>
      </c>
      <c r="Y61" s="58" t="s">
        <v>405</v>
      </c>
      <c r="Z61" s="58" t="s">
        <v>112</v>
      </c>
      <c r="AA61" s="138" t="s">
        <v>667</v>
      </c>
      <c r="AB61" s="180" t="s">
        <v>112</v>
      </c>
    </row>
    <row r="62" spans="1:36" s="32" customFormat="1" ht="15" customHeight="1">
      <c r="A62" s="228" t="s">
        <v>48</v>
      </c>
      <c r="B62" s="50" t="s">
        <v>385</v>
      </c>
      <c r="C62" s="51">
        <f t="shared" si="1"/>
        <v>0</v>
      </c>
      <c r="D62" s="51"/>
      <c r="E62" s="52">
        <f t="shared" si="13"/>
        <v>0</v>
      </c>
      <c r="F62" s="64" t="s">
        <v>123</v>
      </c>
      <c r="G62" s="64" t="s">
        <v>123</v>
      </c>
      <c r="H62" s="55" t="s">
        <v>112</v>
      </c>
      <c r="I62" s="55">
        <f>9659031.4+756787.3+312428.8</f>
        <v>10728247.500000002</v>
      </c>
      <c r="J62" s="55">
        <f>17034209.5</f>
        <v>17034209.5</v>
      </c>
      <c r="K62" s="55">
        <v>31623763.300000001</v>
      </c>
      <c r="L62" s="55">
        <v>9067542.3000000007</v>
      </c>
      <c r="M62" s="119" t="s">
        <v>112</v>
      </c>
      <c r="N62" s="57" t="s">
        <v>122</v>
      </c>
      <c r="O62" s="55">
        <v>2709.9</v>
      </c>
      <c r="P62" s="55" t="s">
        <v>112</v>
      </c>
      <c r="Q62" s="55">
        <f>135000</f>
        <v>135000</v>
      </c>
      <c r="R62" s="55">
        <v>4321832.5</v>
      </c>
      <c r="S62" s="55" t="s">
        <v>112</v>
      </c>
      <c r="T62" s="55">
        <f t="shared" si="2"/>
        <v>72913305</v>
      </c>
      <c r="U62" s="55">
        <v>72958564.100000009</v>
      </c>
      <c r="V62" s="55">
        <f t="shared" si="14"/>
        <v>45259.100000008941</v>
      </c>
      <c r="W62" s="54" t="str">
        <f>'1.2'!F61</f>
        <v>15-ПК</v>
      </c>
      <c r="X62" s="53">
        <f>'1.1'!H61</f>
        <v>44540</v>
      </c>
      <c r="Y62" s="58">
        <v>5</v>
      </c>
      <c r="Z62" s="58" t="s">
        <v>112</v>
      </c>
      <c r="AA62" s="185" t="s">
        <v>505</v>
      </c>
      <c r="AB62" s="180" t="s">
        <v>112</v>
      </c>
      <c r="AC62" s="79"/>
      <c r="AD62"/>
      <c r="AE62"/>
      <c r="AF62" s="7"/>
      <c r="AG62"/>
      <c r="AH62"/>
      <c r="AI62"/>
      <c r="AJ62"/>
    </row>
    <row r="63" spans="1:36" s="32" customFormat="1" ht="15" customHeight="1">
      <c r="A63" s="228" t="s">
        <v>49</v>
      </c>
      <c r="B63" s="50" t="s">
        <v>383</v>
      </c>
      <c r="C63" s="51">
        <f t="shared" si="1"/>
        <v>2</v>
      </c>
      <c r="D63" s="51"/>
      <c r="E63" s="52">
        <f t="shared" si="13"/>
        <v>2</v>
      </c>
      <c r="F63" s="64" t="s">
        <v>447</v>
      </c>
      <c r="G63" s="64" t="s">
        <v>122</v>
      </c>
      <c r="H63" s="55" t="s">
        <v>112</v>
      </c>
      <c r="I63" s="55">
        <v>2663847</v>
      </c>
      <c r="J63" s="55">
        <v>11140461.199999999</v>
      </c>
      <c r="K63" s="55">
        <v>9900117.3000000007</v>
      </c>
      <c r="L63" s="55">
        <v>2503308.5</v>
      </c>
      <c r="M63" s="119" t="s">
        <v>112</v>
      </c>
      <c r="N63" s="57" t="s">
        <v>122</v>
      </c>
      <c r="O63" s="55">
        <v>2243.3000000000002</v>
      </c>
      <c r="P63" s="55" t="s">
        <v>112</v>
      </c>
      <c r="Q63" s="55">
        <v>20000</v>
      </c>
      <c r="R63" s="55">
        <v>100830.5</v>
      </c>
      <c r="S63" s="55" t="s">
        <v>112</v>
      </c>
      <c r="T63" s="55">
        <f t="shared" si="2"/>
        <v>26330807.800000001</v>
      </c>
      <c r="U63" s="55">
        <v>26330807.800000001</v>
      </c>
      <c r="V63" s="55">
        <f t="shared" si="14"/>
        <v>0</v>
      </c>
      <c r="W63" s="54" t="str">
        <f>'1.2'!F62</f>
        <v xml:space="preserve"> 25-ЗО</v>
      </c>
      <c r="X63" s="53">
        <f>'1.1'!H62</f>
        <v>44551</v>
      </c>
      <c r="Y63" s="58" t="s">
        <v>406</v>
      </c>
      <c r="Z63" s="58" t="s">
        <v>112</v>
      </c>
      <c r="AA63" s="138" t="s">
        <v>112</v>
      </c>
      <c r="AB63" s="180"/>
      <c r="AC63" s="79"/>
      <c r="AD63"/>
      <c r="AE63"/>
      <c r="AF63" s="7"/>
      <c r="AG63"/>
      <c r="AH63"/>
      <c r="AI63"/>
      <c r="AJ63"/>
    </row>
    <row r="64" spans="1:36" s="32" customFormat="1" ht="15" customHeight="1">
      <c r="A64" s="228" t="s">
        <v>684</v>
      </c>
      <c r="B64" s="50" t="s">
        <v>383</v>
      </c>
      <c r="C64" s="51">
        <f t="shared" si="1"/>
        <v>2</v>
      </c>
      <c r="D64" s="51"/>
      <c r="E64" s="52">
        <f t="shared" si="13"/>
        <v>2</v>
      </c>
      <c r="F64" s="64" t="s">
        <v>447</v>
      </c>
      <c r="G64" s="64" t="s">
        <v>122</v>
      </c>
      <c r="H64" s="55">
        <v>82600435.5</v>
      </c>
      <c r="I64" s="55">
        <f>8848228.3+3242589.7+18000+301742</f>
        <v>12410560</v>
      </c>
      <c r="J64" s="55">
        <v>28989744</v>
      </c>
      <c r="K64" s="55">
        <v>40363231.5</v>
      </c>
      <c r="L64" s="55">
        <v>836900</v>
      </c>
      <c r="M64" s="119">
        <f t="shared" ref="M64:M65" si="15">H64-(I64+J64+K64+L64)</f>
        <v>0</v>
      </c>
      <c r="N64" s="57" t="s">
        <v>122</v>
      </c>
      <c r="O64" s="55">
        <v>1031.9000000000001</v>
      </c>
      <c r="P64" s="55" t="s">
        <v>112</v>
      </c>
      <c r="Q64" s="55">
        <f>8000</f>
        <v>8000</v>
      </c>
      <c r="R64" s="55" t="s">
        <v>112</v>
      </c>
      <c r="S64" s="55" t="s">
        <v>112</v>
      </c>
      <c r="T64" s="55">
        <f t="shared" si="2"/>
        <v>82609467.400000006</v>
      </c>
      <c r="U64" s="55">
        <v>82609467.400000021</v>
      </c>
      <c r="V64" s="55">
        <f t="shared" si="14"/>
        <v>0</v>
      </c>
      <c r="W64" s="54" t="str">
        <f>'1.2'!F63</f>
        <v>151-З</v>
      </c>
      <c r="X64" s="53">
        <f>'1.1'!H63</f>
        <v>44553</v>
      </c>
      <c r="Y64" s="58" t="s">
        <v>407</v>
      </c>
      <c r="Z64" s="58" t="s">
        <v>112</v>
      </c>
      <c r="AA64" s="138" t="s">
        <v>545</v>
      </c>
      <c r="AB64" s="180" t="s">
        <v>112</v>
      </c>
      <c r="AC64" s="79"/>
      <c r="AD64"/>
      <c r="AE64"/>
      <c r="AF64" s="7"/>
      <c r="AG64"/>
      <c r="AH64"/>
      <c r="AI64"/>
      <c r="AJ64"/>
    </row>
    <row r="65" spans="1:36" s="32" customFormat="1" ht="15" customHeight="1">
      <c r="A65" s="228" t="s">
        <v>51</v>
      </c>
      <c r="B65" s="50" t="s">
        <v>384</v>
      </c>
      <c r="C65" s="51">
        <f t="shared" si="1"/>
        <v>1</v>
      </c>
      <c r="D65" s="51"/>
      <c r="E65" s="52">
        <f t="shared" si="13"/>
        <v>1</v>
      </c>
      <c r="F65" s="64" t="s">
        <v>439</v>
      </c>
      <c r="G65" s="64" t="s">
        <v>122</v>
      </c>
      <c r="H65" s="55">
        <v>45278231.5</v>
      </c>
      <c r="I65" s="55">
        <v>9193649.4000000004</v>
      </c>
      <c r="J65" s="55">
        <v>14422016.1</v>
      </c>
      <c r="K65" s="55">
        <v>20243911.699999999</v>
      </c>
      <c r="L65" s="55">
        <v>1418654.3</v>
      </c>
      <c r="M65" s="119">
        <f t="shared" si="15"/>
        <v>0</v>
      </c>
      <c r="N65" s="57" t="s">
        <v>441</v>
      </c>
      <c r="O65" s="55" t="s">
        <v>112</v>
      </c>
      <c r="P65" s="55" t="s">
        <v>112</v>
      </c>
      <c r="Q65" s="55" t="s">
        <v>112</v>
      </c>
      <c r="R65" s="55" t="s">
        <v>112</v>
      </c>
      <c r="S65" s="220" t="s">
        <v>112</v>
      </c>
      <c r="T65" s="220">
        <f t="shared" si="2"/>
        <v>45278231.5</v>
      </c>
      <c r="U65" s="220">
        <v>45385280.700000003</v>
      </c>
      <c r="V65" s="220">
        <f t="shared" si="14"/>
        <v>107049.20000000298</v>
      </c>
      <c r="W65" s="171" t="str">
        <f>'1.2'!F64</f>
        <v>154/56-VII-ОЗ</v>
      </c>
      <c r="X65" s="144">
        <f>'1.1'!H64</f>
        <v>44546</v>
      </c>
      <c r="Y65" s="221" t="s">
        <v>395</v>
      </c>
      <c r="Z65" s="221" t="s">
        <v>673</v>
      </c>
      <c r="AA65" s="185" t="s">
        <v>674</v>
      </c>
      <c r="AB65" s="180" t="s">
        <v>112</v>
      </c>
      <c r="AC65" s="81"/>
    </row>
    <row r="66" spans="1:36" ht="15" customHeight="1">
      <c r="A66" s="228" t="s">
        <v>52</v>
      </c>
      <c r="B66" s="50" t="s">
        <v>385</v>
      </c>
      <c r="C66" s="51">
        <f t="shared" si="1"/>
        <v>0</v>
      </c>
      <c r="D66" s="51"/>
      <c r="E66" s="52">
        <f t="shared" si="13"/>
        <v>0</v>
      </c>
      <c r="F66" s="64" t="s">
        <v>123</v>
      </c>
      <c r="G66" s="64" t="s">
        <v>123</v>
      </c>
      <c r="H66" s="55" t="s">
        <v>112</v>
      </c>
      <c r="I66" s="55" t="s">
        <v>112</v>
      </c>
      <c r="J66" s="55">
        <v>7654468.7999999998</v>
      </c>
      <c r="K66" s="55" t="s">
        <v>112</v>
      </c>
      <c r="L66" s="55" t="s">
        <v>112</v>
      </c>
      <c r="M66" s="119" t="s">
        <v>112</v>
      </c>
      <c r="N66" s="57" t="s">
        <v>441</v>
      </c>
      <c r="O66" s="55" t="s">
        <v>112</v>
      </c>
      <c r="P66" s="55" t="s">
        <v>112</v>
      </c>
      <c r="Q66" s="55">
        <v>26500</v>
      </c>
      <c r="R66" s="55" t="s">
        <v>112</v>
      </c>
      <c r="S66" s="55" t="s">
        <v>112</v>
      </c>
      <c r="T66" s="55">
        <f t="shared" si="2"/>
        <v>7680968.7999999998</v>
      </c>
      <c r="U66" s="55">
        <v>33366743.700000003</v>
      </c>
      <c r="V66" s="55">
        <f t="shared" si="14"/>
        <v>25685774.900000002</v>
      </c>
      <c r="W66" s="54" t="str">
        <f>'1.2'!F65</f>
        <v>3775-ЗПО </v>
      </c>
      <c r="X66" s="53">
        <f>'1.1'!H65</f>
        <v>44550</v>
      </c>
      <c r="Y66" s="58" t="s">
        <v>156</v>
      </c>
      <c r="Z66" s="58" t="s">
        <v>153</v>
      </c>
      <c r="AA66" s="185" t="s">
        <v>509</v>
      </c>
      <c r="AB66" s="180" t="s">
        <v>112</v>
      </c>
      <c r="AF66" s="7"/>
    </row>
    <row r="67" spans="1:36" ht="15" customHeight="1">
      <c r="A67" s="228" t="s">
        <v>53</v>
      </c>
      <c r="B67" s="50" t="s">
        <v>385</v>
      </c>
      <c r="C67" s="51">
        <f t="shared" si="1"/>
        <v>0</v>
      </c>
      <c r="D67" s="51"/>
      <c r="E67" s="52">
        <f t="shared" si="13"/>
        <v>0</v>
      </c>
      <c r="F67" s="64" t="s">
        <v>501</v>
      </c>
      <c r="G67" s="64" t="s">
        <v>501</v>
      </c>
      <c r="H67" s="55">
        <v>40311893</v>
      </c>
      <c r="I67" s="55">
        <v>6993796</v>
      </c>
      <c r="J67" s="55">
        <v>17004790</v>
      </c>
      <c r="K67" s="55">
        <v>15806685</v>
      </c>
      <c r="L67" s="55">
        <v>506622</v>
      </c>
      <c r="M67" s="119">
        <f>H67-(I67+J67+K67+L67)</f>
        <v>0</v>
      </c>
      <c r="N67" s="57" t="s">
        <v>501</v>
      </c>
      <c r="O67" s="55">
        <v>100000</v>
      </c>
      <c r="P67" s="55" t="s">
        <v>112</v>
      </c>
      <c r="Q67" s="55">
        <v>191153</v>
      </c>
      <c r="R67" s="55" t="s">
        <v>112</v>
      </c>
      <c r="S67" s="55" t="s">
        <v>112</v>
      </c>
      <c r="T67" s="55">
        <f t="shared" si="2"/>
        <v>40603046</v>
      </c>
      <c r="U67" s="55">
        <v>40603044</v>
      </c>
      <c r="V67" s="55">
        <f>U67-T67</f>
        <v>-2</v>
      </c>
      <c r="W67" s="54" t="str">
        <f>'1.2'!F66</f>
        <v>95-ГД</v>
      </c>
      <c r="X67" s="53">
        <f>'1.1'!H66</f>
        <v>44531</v>
      </c>
      <c r="Y67" s="58">
        <v>19</v>
      </c>
      <c r="Z67" s="58" t="s">
        <v>112</v>
      </c>
      <c r="AA67" s="185" t="s">
        <v>515</v>
      </c>
      <c r="AB67" s="180" t="s">
        <v>112</v>
      </c>
      <c r="AC67" s="84"/>
    </row>
    <row r="68" spans="1:36" s="32" customFormat="1" ht="15" customHeight="1">
      <c r="A68" s="228" t="s">
        <v>54</v>
      </c>
      <c r="B68" s="50" t="s">
        <v>383</v>
      </c>
      <c r="C68" s="51">
        <f t="shared" si="1"/>
        <v>2</v>
      </c>
      <c r="D68" s="51"/>
      <c r="E68" s="52">
        <f t="shared" si="13"/>
        <v>2</v>
      </c>
      <c r="F68" s="64" t="s">
        <v>447</v>
      </c>
      <c r="G68" s="64" t="s">
        <v>122</v>
      </c>
      <c r="H68" s="55">
        <v>37509483.299999997</v>
      </c>
      <c r="I68" s="55">
        <v>3757267.1</v>
      </c>
      <c r="J68" s="55">
        <v>8691587.0999999996</v>
      </c>
      <c r="K68" s="55">
        <v>24414257.899999999</v>
      </c>
      <c r="L68" s="55">
        <v>646371.19999999995</v>
      </c>
      <c r="M68" s="119"/>
      <c r="N68" s="57" t="s">
        <v>122</v>
      </c>
      <c r="O68" s="55">
        <v>1236.4000000000001</v>
      </c>
      <c r="P68" s="55" t="s">
        <v>112</v>
      </c>
      <c r="Q68" s="55">
        <v>49324.1</v>
      </c>
      <c r="R68" s="55" t="s">
        <v>112</v>
      </c>
      <c r="S68" s="55" t="s">
        <v>112</v>
      </c>
      <c r="T68" s="55">
        <f t="shared" si="2"/>
        <v>37560043.799999997</v>
      </c>
      <c r="U68" s="55">
        <v>37560043.799999997</v>
      </c>
      <c r="V68" s="55">
        <f t="shared" ref="V68:V99" si="16">U68-T68</f>
        <v>0</v>
      </c>
      <c r="W68" s="54" t="str">
        <f>'1.2'!F67</f>
        <v>140-ЗСО</v>
      </c>
      <c r="X68" s="53">
        <f>'1.1'!H67</f>
        <v>44532</v>
      </c>
      <c r="Y68" s="58">
        <v>6</v>
      </c>
      <c r="Z68" s="58">
        <v>8</v>
      </c>
      <c r="AA68" s="138" t="s">
        <v>112</v>
      </c>
      <c r="AB68" s="180"/>
      <c r="AC68" s="79"/>
      <c r="AD68"/>
      <c r="AE68"/>
      <c r="AF68" s="7"/>
      <c r="AG68"/>
      <c r="AH68"/>
      <c r="AI68"/>
      <c r="AJ68"/>
    </row>
    <row r="69" spans="1:36" ht="15" customHeight="1">
      <c r="A69" s="228" t="s">
        <v>55</v>
      </c>
      <c r="B69" s="50" t="s">
        <v>385</v>
      </c>
      <c r="C69" s="51">
        <f t="shared" si="1"/>
        <v>0</v>
      </c>
      <c r="D69" s="51"/>
      <c r="E69" s="52">
        <f t="shared" si="13"/>
        <v>0</v>
      </c>
      <c r="F69" s="64" t="s">
        <v>123</v>
      </c>
      <c r="G69" s="64" t="s">
        <v>123</v>
      </c>
      <c r="H69" s="55" t="s">
        <v>112</v>
      </c>
      <c r="I69" s="55">
        <v>3269820.3</v>
      </c>
      <c r="J69" s="55">
        <v>5139498.1764500001</v>
      </c>
      <c r="K69" s="55">
        <v>11416886.32</v>
      </c>
      <c r="L69" s="55" t="s">
        <v>112</v>
      </c>
      <c r="M69" s="119" t="s">
        <v>112</v>
      </c>
      <c r="N69" s="57" t="s">
        <v>441</v>
      </c>
      <c r="O69" s="55">
        <v>708.7</v>
      </c>
      <c r="P69" s="55" t="s">
        <v>112</v>
      </c>
      <c r="Q69" s="55">
        <v>12000</v>
      </c>
      <c r="R69" s="55">
        <v>45000</v>
      </c>
      <c r="S69" s="55" t="s">
        <v>112</v>
      </c>
      <c r="T69" s="55">
        <f t="shared" si="2"/>
        <v>19883913.49645</v>
      </c>
      <c r="U69" s="55">
        <v>20627932.062749997</v>
      </c>
      <c r="V69" s="55">
        <f>U69-T69</f>
        <v>744018.56629999727</v>
      </c>
      <c r="W69" s="54" t="str">
        <f>'1.2'!F68</f>
        <v>146-ЗО</v>
      </c>
      <c r="X69" s="53">
        <f>'1.1'!H68</f>
        <v>44538</v>
      </c>
      <c r="Y69" s="58">
        <v>9</v>
      </c>
      <c r="Z69" s="58">
        <v>8</v>
      </c>
      <c r="AA69" s="185" t="s">
        <v>512</v>
      </c>
      <c r="AB69" s="180" t="s">
        <v>112</v>
      </c>
      <c r="AF69" s="7"/>
    </row>
    <row r="70" spans="1:36" ht="15" customHeight="1">
      <c r="A70" s="227" t="s">
        <v>56</v>
      </c>
      <c r="B70" s="47"/>
      <c r="C70" s="47"/>
      <c r="D70" s="47"/>
      <c r="E70" s="47"/>
      <c r="F70" s="65"/>
      <c r="G70" s="65"/>
      <c r="H70" s="62"/>
      <c r="I70" s="62"/>
      <c r="J70" s="62"/>
      <c r="K70" s="62"/>
      <c r="L70" s="62"/>
      <c r="M70" s="128"/>
      <c r="N70" s="62"/>
      <c r="O70" s="62"/>
      <c r="P70" s="62"/>
      <c r="Q70" s="62"/>
      <c r="R70" s="62"/>
      <c r="S70" s="62"/>
      <c r="T70" s="62"/>
      <c r="U70" s="62"/>
      <c r="V70" s="62"/>
      <c r="W70" s="59"/>
      <c r="X70" s="60"/>
      <c r="Y70" s="124"/>
      <c r="Z70" s="49"/>
      <c r="AA70" s="151"/>
    </row>
    <row r="71" spans="1:36" s="32" customFormat="1" ht="15" customHeight="1">
      <c r="A71" s="228" t="s">
        <v>57</v>
      </c>
      <c r="B71" s="50" t="s">
        <v>385</v>
      </c>
      <c r="C71" s="51">
        <f t="shared" si="1"/>
        <v>0</v>
      </c>
      <c r="D71" s="51"/>
      <c r="E71" s="52">
        <f t="shared" ref="E71:E76" si="17">C71*(1-D71)</f>
        <v>0</v>
      </c>
      <c r="F71" s="64" t="s">
        <v>123</v>
      </c>
      <c r="G71" s="64" t="s">
        <v>123</v>
      </c>
      <c r="H71" s="55">
        <v>20745314</v>
      </c>
      <c r="I71" s="55" t="s">
        <v>112</v>
      </c>
      <c r="J71" s="55">
        <v>4253238.7</v>
      </c>
      <c r="K71" s="55" t="s">
        <v>112</v>
      </c>
      <c r="L71" s="55" t="s">
        <v>112</v>
      </c>
      <c r="M71" s="119" t="s">
        <v>112</v>
      </c>
      <c r="N71" s="57" t="s">
        <v>441</v>
      </c>
      <c r="O71" s="55" t="s">
        <v>112</v>
      </c>
      <c r="P71" s="55" t="s">
        <v>112</v>
      </c>
      <c r="Q71" s="55" t="s">
        <v>112</v>
      </c>
      <c r="R71" s="55" t="s">
        <v>112</v>
      </c>
      <c r="S71" s="55" t="s">
        <v>112</v>
      </c>
      <c r="T71" s="55">
        <f t="shared" si="2"/>
        <v>4253238.7</v>
      </c>
      <c r="U71" s="55">
        <v>20787257</v>
      </c>
      <c r="V71" s="55">
        <f t="shared" si="16"/>
        <v>16534018.300000001</v>
      </c>
      <c r="W71" s="54">
        <f>'1.2'!F70</f>
        <v>165</v>
      </c>
      <c r="X71" s="53">
        <f>'1.1'!H70</f>
        <v>44559</v>
      </c>
      <c r="Y71" s="58" t="s">
        <v>416</v>
      </c>
      <c r="Z71" s="58">
        <v>14</v>
      </c>
      <c r="AA71" s="185" t="s">
        <v>499</v>
      </c>
      <c r="AB71" s="180" t="s">
        <v>112</v>
      </c>
      <c r="AC71" s="79"/>
      <c r="AD71"/>
      <c r="AE71"/>
      <c r="AF71" s="7"/>
      <c r="AG71"/>
      <c r="AH71"/>
      <c r="AI71"/>
      <c r="AJ71"/>
    </row>
    <row r="72" spans="1:36" ht="15" customHeight="1">
      <c r="A72" s="228" t="s">
        <v>58</v>
      </c>
      <c r="B72" s="50" t="s">
        <v>385</v>
      </c>
      <c r="C72" s="51">
        <f t="shared" si="1"/>
        <v>0</v>
      </c>
      <c r="D72" s="51"/>
      <c r="E72" s="52">
        <f t="shared" si="17"/>
        <v>0</v>
      </c>
      <c r="F72" s="64" t="s">
        <v>123</v>
      </c>
      <c r="G72" s="64" t="s">
        <v>123</v>
      </c>
      <c r="H72" s="55" t="s">
        <v>112</v>
      </c>
      <c r="I72" s="55" t="s">
        <v>112</v>
      </c>
      <c r="J72" s="55" t="s">
        <v>112</v>
      </c>
      <c r="K72" s="55" t="s">
        <v>112</v>
      </c>
      <c r="L72" s="55" t="s">
        <v>112</v>
      </c>
      <c r="M72" s="119" t="s">
        <v>112</v>
      </c>
      <c r="N72" s="57" t="s">
        <v>441</v>
      </c>
      <c r="O72" s="55" t="s">
        <v>112</v>
      </c>
      <c r="P72" s="55" t="s">
        <v>112</v>
      </c>
      <c r="Q72" s="55" t="s">
        <v>112</v>
      </c>
      <c r="R72" s="55" t="s">
        <v>112</v>
      </c>
      <c r="S72" s="55" t="s">
        <v>112</v>
      </c>
      <c r="T72" s="55">
        <f t="shared" si="2"/>
        <v>0</v>
      </c>
      <c r="U72" s="55">
        <v>138680972.69999993</v>
      </c>
      <c r="V72" s="55">
        <f t="shared" si="16"/>
        <v>138680972.69999993</v>
      </c>
      <c r="W72" s="54" t="str">
        <f>'1.2'!F71</f>
        <v>111-ОЗ</v>
      </c>
      <c r="X72" s="53">
        <f>'1.1'!H71</f>
        <v>44538</v>
      </c>
      <c r="Y72" s="58">
        <v>11</v>
      </c>
      <c r="Z72" s="58" t="s">
        <v>112</v>
      </c>
      <c r="AA72" s="185" t="s">
        <v>506</v>
      </c>
      <c r="AB72" s="180" t="s">
        <v>112</v>
      </c>
      <c r="AF72" s="7"/>
    </row>
    <row r="73" spans="1:36" ht="15" customHeight="1">
      <c r="A73" s="228" t="s">
        <v>59</v>
      </c>
      <c r="B73" s="50" t="s">
        <v>385</v>
      </c>
      <c r="C73" s="51">
        <f t="shared" ref="C73:C99" si="18">IF(B73=$B$4,2,IF(B73=$B$5,1,0))</f>
        <v>0</v>
      </c>
      <c r="D73" s="51"/>
      <c r="E73" s="52">
        <f t="shared" si="17"/>
        <v>0</v>
      </c>
      <c r="F73" s="64" t="s">
        <v>123</v>
      </c>
      <c r="G73" s="64" t="s">
        <v>123</v>
      </c>
      <c r="H73" s="55">
        <v>79429036</v>
      </c>
      <c r="I73" s="55" t="s">
        <v>112</v>
      </c>
      <c r="J73" s="55">
        <v>10528955</v>
      </c>
      <c r="K73" s="55">
        <v>22389077</v>
      </c>
      <c r="L73" s="55">
        <v>2262428</v>
      </c>
      <c r="M73" s="119" t="s">
        <v>112</v>
      </c>
      <c r="N73" s="57" t="s">
        <v>441</v>
      </c>
      <c r="O73" s="55" t="s">
        <v>112</v>
      </c>
      <c r="P73" s="55" t="s">
        <v>112</v>
      </c>
      <c r="Q73" s="55" t="s">
        <v>112</v>
      </c>
      <c r="R73" s="55" t="s">
        <v>112</v>
      </c>
      <c r="S73" s="55" t="s">
        <v>112</v>
      </c>
      <c r="T73" s="55">
        <f t="shared" ref="T73:T99" si="19">SUM(I73:S73)</f>
        <v>35180460</v>
      </c>
      <c r="U73" s="55">
        <v>109362385</v>
      </c>
      <c r="V73" s="55">
        <f t="shared" si="16"/>
        <v>74181925</v>
      </c>
      <c r="W73" s="54">
        <f>'1.2'!F72</f>
        <v>94</v>
      </c>
      <c r="X73" s="53">
        <f>'1.1'!H72</f>
        <v>44532</v>
      </c>
      <c r="Y73" s="58">
        <v>6</v>
      </c>
      <c r="Z73" s="58">
        <v>24</v>
      </c>
      <c r="AA73" s="185" t="s">
        <v>507</v>
      </c>
      <c r="AB73" s="180" t="s">
        <v>112</v>
      </c>
      <c r="AF73" s="7"/>
    </row>
    <row r="74" spans="1:36" s="32" customFormat="1" ht="15" customHeight="1">
      <c r="A74" s="228" t="s">
        <v>60</v>
      </c>
      <c r="B74" s="50" t="s">
        <v>384</v>
      </c>
      <c r="C74" s="51">
        <f t="shared" si="18"/>
        <v>1</v>
      </c>
      <c r="D74" s="51"/>
      <c r="E74" s="52">
        <f t="shared" si="17"/>
        <v>1</v>
      </c>
      <c r="F74" s="64" t="s">
        <v>439</v>
      </c>
      <c r="G74" s="64" t="s">
        <v>122</v>
      </c>
      <c r="H74" s="55">
        <v>110740015.09999999</v>
      </c>
      <c r="I74" s="55">
        <v>17647636.300000001</v>
      </c>
      <c r="J74" s="55">
        <v>30156776.699999999</v>
      </c>
      <c r="K74" s="55">
        <v>59395980.799999997</v>
      </c>
      <c r="L74" s="55">
        <v>3539621.3</v>
      </c>
      <c r="M74" s="119">
        <f>H74-(I74+J74+K74+L74)</f>
        <v>0</v>
      </c>
      <c r="N74" s="57" t="s">
        <v>123</v>
      </c>
      <c r="O74" s="55" t="s">
        <v>112</v>
      </c>
      <c r="P74" s="55" t="s">
        <v>112</v>
      </c>
      <c r="Q74" s="55" t="s">
        <v>112</v>
      </c>
      <c r="R74" s="55">
        <f>962498.7+74922.4</f>
        <v>1037421.1</v>
      </c>
      <c r="S74" s="55" t="s">
        <v>112</v>
      </c>
      <c r="T74" s="55">
        <f t="shared" si="19"/>
        <v>111777436.19999999</v>
      </c>
      <c r="U74" s="55">
        <v>111868469.7</v>
      </c>
      <c r="V74" s="55">
        <f t="shared" si="16"/>
        <v>91033.500000014901</v>
      </c>
      <c r="W74" s="54" t="str">
        <f>'1.2'!F73</f>
        <v>493-ЗО</v>
      </c>
      <c r="X74" s="53">
        <f>'1.1'!H73</f>
        <v>44553</v>
      </c>
      <c r="Y74" s="58">
        <v>12</v>
      </c>
      <c r="Z74" s="58" t="s">
        <v>112</v>
      </c>
      <c r="AA74" s="138" t="s">
        <v>535</v>
      </c>
      <c r="AB74" s="180" t="s">
        <v>112</v>
      </c>
      <c r="AC74" s="79"/>
      <c r="AD74"/>
      <c r="AE74"/>
      <c r="AF74" s="7"/>
      <c r="AG74"/>
      <c r="AH74"/>
      <c r="AI74"/>
      <c r="AJ74"/>
    </row>
    <row r="75" spans="1:36" s="32" customFormat="1" ht="15" customHeight="1">
      <c r="A75" s="228" t="s">
        <v>685</v>
      </c>
      <c r="B75" s="50" t="s">
        <v>383</v>
      </c>
      <c r="C75" s="51">
        <f t="shared" si="18"/>
        <v>2</v>
      </c>
      <c r="D75" s="51"/>
      <c r="E75" s="52">
        <f t="shared" si="17"/>
        <v>2</v>
      </c>
      <c r="F75" s="64" t="s">
        <v>447</v>
      </c>
      <c r="G75" s="64" t="s">
        <v>122</v>
      </c>
      <c r="H75" s="55">
        <v>106566392.90000001</v>
      </c>
      <c r="I75" s="55">
        <v>12732004.300000001</v>
      </c>
      <c r="J75" s="55">
        <v>26305484.199999999</v>
      </c>
      <c r="K75" s="55">
        <v>65410618.700000003</v>
      </c>
      <c r="L75" s="55">
        <v>2118285.7000000002</v>
      </c>
      <c r="M75" s="119"/>
      <c r="N75" s="57" t="s">
        <v>122</v>
      </c>
      <c r="O75" s="55">
        <v>6375.9</v>
      </c>
      <c r="P75" s="55" t="s">
        <v>112</v>
      </c>
      <c r="Q75" s="55">
        <f>25000</f>
        <v>25000</v>
      </c>
      <c r="R75" s="55">
        <v>8422964.9000000004</v>
      </c>
      <c r="S75" s="55" t="s">
        <v>112</v>
      </c>
      <c r="T75" s="55">
        <f t="shared" si="19"/>
        <v>115020733.70000002</v>
      </c>
      <c r="U75" s="55">
        <v>115020733.7</v>
      </c>
      <c r="V75" s="55">
        <f t="shared" si="16"/>
        <v>0</v>
      </c>
      <c r="W75" s="54" t="str">
        <f>'1.2'!F74</f>
        <v>85-оз</v>
      </c>
      <c r="X75" s="53">
        <f>'1.1'!H74</f>
        <v>44525</v>
      </c>
      <c r="Y75" s="58">
        <v>5</v>
      </c>
      <c r="Z75" s="58" t="s">
        <v>112</v>
      </c>
      <c r="AA75" s="138" t="s">
        <v>112</v>
      </c>
      <c r="AB75" s="180"/>
      <c r="AC75" s="79"/>
      <c r="AD75"/>
      <c r="AE75"/>
      <c r="AF75" s="7"/>
      <c r="AG75"/>
      <c r="AH75"/>
      <c r="AI75"/>
      <c r="AJ75"/>
    </row>
    <row r="76" spans="1:36" s="32" customFormat="1" ht="15" customHeight="1">
      <c r="A76" s="228" t="s">
        <v>61</v>
      </c>
      <c r="B76" s="50" t="s">
        <v>385</v>
      </c>
      <c r="C76" s="51">
        <f t="shared" si="18"/>
        <v>0</v>
      </c>
      <c r="D76" s="51"/>
      <c r="E76" s="52">
        <f t="shared" si="17"/>
        <v>0</v>
      </c>
      <c r="F76" s="64" t="s">
        <v>123</v>
      </c>
      <c r="G76" s="64" t="s">
        <v>123</v>
      </c>
      <c r="H76" s="55" t="s">
        <v>112</v>
      </c>
      <c r="I76" s="55" t="s">
        <v>112</v>
      </c>
      <c r="J76" s="55" t="s">
        <v>112</v>
      </c>
      <c r="K76" s="55" t="s">
        <v>112</v>
      </c>
      <c r="L76" s="55" t="s">
        <v>112</v>
      </c>
      <c r="M76" s="119" t="s">
        <v>112</v>
      </c>
      <c r="N76" s="57" t="s">
        <v>123</v>
      </c>
      <c r="O76" s="55" t="s">
        <v>112</v>
      </c>
      <c r="P76" s="55" t="s">
        <v>112</v>
      </c>
      <c r="Q76" s="55" t="s">
        <v>112</v>
      </c>
      <c r="R76" s="55" t="s">
        <v>112</v>
      </c>
      <c r="S76" s="55" t="s">
        <v>112</v>
      </c>
      <c r="T76" s="55">
        <f t="shared" si="19"/>
        <v>0</v>
      </c>
      <c r="U76" s="55">
        <v>108855359</v>
      </c>
      <c r="V76" s="55">
        <f t="shared" si="16"/>
        <v>108855359</v>
      </c>
      <c r="W76" s="54" t="str">
        <f>'1.2'!F75</f>
        <v>111-ЗАО</v>
      </c>
      <c r="X76" s="53">
        <f>'1.1'!H75</f>
        <v>44525</v>
      </c>
      <c r="Y76" s="58">
        <v>9</v>
      </c>
      <c r="Z76" s="58">
        <v>15</v>
      </c>
      <c r="AA76" s="185" t="s">
        <v>513</v>
      </c>
      <c r="AB76" s="180" t="s">
        <v>112</v>
      </c>
      <c r="AC76" s="79"/>
      <c r="AD76"/>
      <c r="AE76"/>
      <c r="AF76" s="7"/>
      <c r="AG76"/>
      <c r="AH76"/>
      <c r="AI76"/>
      <c r="AJ76"/>
    </row>
    <row r="77" spans="1:36" ht="15" customHeight="1">
      <c r="A77" s="227" t="s">
        <v>62</v>
      </c>
      <c r="B77" s="47"/>
      <c r="C77" s="47"/>
      <c r="D77" s="47"/>
      <c r="E77" s="47"/>
      <c r="F77" s="65"/>
      <c r="G77" s="65"/>
      <c r="H77" s="62"/>
      <c r="I77" s="62"/>
      <c r="J77" s="62"/>
      <c r="K77" s="62"/>
      <c r="L77" s="62"/>
      <c r="M77" s="128"/>
      <c r="N77" s="62"/>
      <c r="O77" s="62"/>
      <c r="P77" s="62"/>
      <c r="Q77" s="62"/>
      <c r="R77" s="62"/>
      <c r="S77" s="62"/>
      <c r="T77" s="62"/>
      <c r="U77" s="62"/>
      <c r="V77" s="62"/>
      <c r="W77" s="59"/>
      <c r="X77" s="60"/>
      <c r="Y77" s="124"/>
      <c r="Z77" s="49"/>
      <c r="AA77" s="151"/>
    </row>
    <row r="78" spans="1:36" s="32" customFormat="1" ht="15" customHeight="1">
      <c r="A78" s="228" t="s">
        <v>63</v>
      </c>
      <c r="B78" s="50" t="s">
        <v>384</v>
      </c>
      <c r="C78" s="51">
        <f t="shared" si="18"/>
        <v>1</v>
      </c>
      <c r="D78" s="51"/>
      <c r="E78" s="52">
        <f>C78*(1-D78)</f>
        <v>1</v>
      </c>
      <c r="F78" s="64" t="s">
        <v>439</v>
      </c>
      <c r="G78" s="64" t="s">
        <v>122</v>
      </c>
      <c r="H78" s="55" t="s">
        <v>112</v>
      </c>
      <c r="I78" s="55">
        <v>1788982.3</v>
      </c>
      <c r="J78" s="55">
        <v>1361968.5</v>
      </c>
      <c r="K78" s="55">
        <v>3748390.3</v>
      </c>
      <c r="L78" s="55">
        <v>694268.2</v>
      </c>
      <c r="M78" s="119" t="s">
        <v>112</v>
      </c>
      <c r="N78" s="57" t="s">
        <v>123</v>
      </c>
      <c r="O78" s="55" t="s">
        <v>112</v>
      </c>
      <c r="P78" s="55" t="s">
        <v>112</v>
      </c>
      <c r="Q78" s="55" t="s">
        <v>112</v>
      </c>
      <c r="R78" s="55" t="s">
        <v>112</v>
      </c>
      <c r="S78" s="55" t="s">
        <v>112</v>
      </c>
      <c r="T78" s="55">
        <f t="shared" si="19"/>
        <v>7593609.2999999998</v>
      </c>
      <c r="U78" s="55">
        <v>7605330.0999999996</v>
      </c>
      <c r="V78" s="55">
        <f t="shared" si="16"/>
        <v>11720.799999999814</v>
      </c>
      <c r="W78" s="54" t="str">
        <f>'1.2'!F77</f>
        <v>87-РЗ</v>
      </c>
      <c r="X78" s="53">
        <f>'1.1'!H77</f>
        <v>44547</v>
      </c>
      <c r="Y78" s="58">
        <v>8</v>
      </c>
      <c r="Z78" s="58" t="s">
        <v>112</v>
      </c>
      <c r="AA78" s="138" t="s">
        <v>536</v>
      </c>
      <c r="AB78" s="180" t="s">
        <v>112</v>
      </c>
      <c r="AC78" s="79"/>
      <c r="AD78"/>
      <c r="AE78"/>
      <c r="AF78" s="7"/>
      <c r="AG78"/>
      <c r="AH78"/>
      <c r="AI78"/>
      <c r="AJ78"/>
    </row>
    <row r="79" spans="1:36" s="32" customFormat="1" ht="15" customHeight="1">
      <c r="A79" s="228" t="s">
        <v>65</v>
      </c>
      <c r="B79" s="50" t="s">
        <v>384</v>
      </c>
      <c r="C79" s="51">
        <f t="shared" si="18"/>
        <v>1</v>
      </c>
      <c r="D79" s="51"/>
      <c r="E79" s="52">
        <f t="shared" ref="E79:E87" si="20">C79*(1-D79)</f>
        <v>1</v>
      </c>
      <c r="F79" s="64" t="s">
        <v>439</v>
      </c>
      <c r="G79" s="64" t="s">
        <v>122</v>
      </c>
      <c r="H79" s="55">
        <v>18845545.899999999</v>
      </c>
      <c r="I79" s="55">
        <v>2088523.6</v>
      </c>
      <c r="J79" s="55">
        <v>1181912.5</v>
      </c>
      <c r="K79" s="55">
        <v>14912158.6</v>
      </c>
      <c r="L79" s="55">
        <v>662951.19999999995</v>
      </c>
      <c r="M79" s="119">
        <f t="shared" ref="M79:M80" si="21">H79-(I79+J79+K79+L79)</f>
        <v>0</v>
      </c>
      <c r="N79" s="57" t="s">
        <v>123</v>
      </c>
      <c r="O79" s="55" t="s">
        <v>112</v>
      </c>
      <c r="P79" s="55" t="s">
        <v>112</v>
      </c>
      <c r="Q79" s="55" t="s">
        <v>112</v>
      </c>
      <c r="R79" s="55" t="s">
        <v>112</v>
      </c>
      <c r="S79" s="55" t="s">
        <v>112</v>
      </c>
      <c r="T79" s="55">
        <f t="shared" si="19"/>
        <v>18845545.899999999</v>
      </c>
      <c r="U79" s="55">
        <v>18852828.900000002</v>
      </c>
      <c r="V79" s="55">
        <f t="shared" si="16"/>
        <v>7283.0000000037253</v>
      </c>
      <c r="W79" s="54" t="str">
        <f>'1.2'!F78</f>
        <v>787-ЗРТ</v>
      </c>
      <c r="X79" s="53">
        <f>'1.1'!H78</f>
        <v>44543</v>
      </c>
      <c r="Y79" s="58">
        <v>7</v>
      </c>
      <c r="Z79" s="58" t="s">
        <v>112</v>
      </c>
      <c r="AA79" s="138" t="s">
        <v>668</v>
      </c>
      <c r="AB79" s="180" t="s">
        <v>112</v>
      </c>
      <c r="AC79" s="79"/>
      <c r="AD79"/>
      <c r="AE79"/>
      <c r="AF79" s="7"/>
      <c r="AG79"/>
      <c r="AH79"/>
      <c r="AI79"/>
      <c r="AJ79"/>
    </row>
    <row r="80" spans="1:36" s="32" customFormat="1" ht="15" customHeight="1">
      <c r="A80" s="228" t="s">
        <v>66</v>
      </c>
      <c r="B80" s="50" t="s">
        <v>384</v>
      </c>
      <c r="C80" s="51">
        <f t="shared" si="18"/>
        <v>1</v>
      </c>
      <c r="D80" s="51"/>
      <c r="E80" s="52">
        <f t="shared" si="20"/>
        <v>1</v>
      </c>
      <c r="F80" s="64" t="s">
        <v>439</v>
      </c>
      <c r="G80" s="64" t="s">
        <v>122</v>
      </c>
      <c r="H80" s="55">
        <v>15874668</v>
      </c>
      <c r="I80" s="55">
        <v>1546488</v>
      </c>
      <c r="J80" s="55">
        <v>4109058</v>
      </c>
      <c r="K80" s="55">
        <v>9768335</v>
      </c>
      <c r="L80" s="55">
        <v>450787</v>
      </c>
      <c r="M80" s="119">
        <f t="shared" si="21"/>
        <v>0</v>
      </c>
      <c r="N80" s="57" t="s">
        <v>123</v>
      </c>
      <c r="O80" s="55">
        <v>409</v>
      </c>
      <c r="P80" s="55" t="s">
        <v>112</v>
      </c>
      <c r="Q80" s="55" t="s">
        <v>112</v>
      </c>
      <c r="R80" s="55" t="s">
        <v>112</v>
      </c>
      <c r="S80" s="55" t="s">
        <v>112</v>
      </c>
      <c r="T80" s="55">
        <f t="shared" si="19"/>
        <v>15875077</v>
      </c>
      <c r="U80" s="55">
        <v>15893077</v>
      </c>
      <c r="V80" s="55">
        <f t="shared" si="16"/>
        <v>18000</v>
      </c>
      <c r="W80" s="54" t="str">
        <f>'1.2'!F79</f>
        <v>116-ЗРХ</v>
      </c>
      <c r="X80" s="53">
        <f>'1.1'!H79</f>
        <v>44547</v>
      </c>
      <c r="Y80" s="58" t="s">
        <v>157</v>
      </c>
      <c r="Z80" s="58" t="s">
        <v>112</v>
      </c>
      <c r="AA80" s="138" t="s">
        <v>537</v>
      </c>
      <c r="AB80" s="180" t="s">
        <v>112</v>
      </c>
      <c r="AC80" s="79"/>
      <c r="AD80"/>
      <c r="AE80"/>
      <c r="AF80" s="7"/>
      <c r="AG80"/>
      <c r="AH80"/>
      <c r="AI80"/>
      <c r="AJ80"/>
    </row>
    <row r="81" spans="1:36" ht="15" customHeight="1">
      <c r="A81" s="228" t="s">
        <v>67</v>
      </c>
      <c r="B81" s="50" t="s">
        <v>385</v>
      </c>
      <c r="C81" s="51">
        <f t="shared" si="18"/>
        <v>0</v>
      </c>
      <c r="D81" s="51"/>
      <c r="E81" s="52">
        <f t="shared" si="20"/>
        <v>0</v>
      </c>
      <c r="F81" s="64" t="s">
        <v>123</v>
      </c>
      <c r="G81" s="64" t="s">
        <v>123</v>
      </c>
      <c r="H81" s="55" t="s">
        <v>112</v>
      </c>
      <c r="I81" s="55" t="s">
        <v>112</v>
      </c>
      <c r="J81" s="55" t="s">
        <v>112</v>
      </c>
      <c r="K81" s="55" t="s">
        <v>112</v>
      </c>
      <c r="L81" s="55" t="s">
        <v>112</v>
      </c>
      <c r="M81" s="119" t="s">
        <v>112</v>
      </c>
      <c r="N81" s="57" t="s">
        <v>123</v>
      </c>
      <c r="O81" s="55" t="s">
        <v>112</v>
      </c>
      <c r="P81" s="55" t="s">
        <v>112</v>
      </c>
      <c r="Q81" s="55" t="s">
        <v>112</v>
      </c>
      <c r="R81" s="55" t="s">
        <v>112</v>
      </c>
      <c r="S81" s="55" t="s">
        <v>112</v>
      </c>
      <c r="T81" s="55">
        <f t="shared" si="19"/>
        <v>0</v>
      </c>
      <c r="U81" s="55">
        <v>44778674.899999999</v>
      </c>
      <c r="V81" s="55">
        <f t="shared" si="16"/>
        <v>44778674.899999999</v>
      </c>
      <c r="W81" s="54" t="str">
        <f>'1.2'!F80</f>
        <v>105-ЗС</v>
      </c>
      <c r="X81" s="53">
        <f>'1.1'!H80</f>
        <v>44530</v>
      </c>
      <c r="Y81" s="58" t="s">
        <v>417</v>
      </c>
      <c r="Z81" s="58" t="s">
        <v>508</v>
      </c>
      <c r="AA81" s="185" t="s">
        <v>506</v>
      </c>
      <c r="AB81" s="180" t="s">
        <v>112</v>
      </c>
      <c r="AF81" s="7"/>
    </row>
    <row r="82" spans="1:36" ht="15" customHeight="1">
      <c r="A82" s="228" t="s">
        <v>69</v>
      </c>
      <c r="B82" s="50" t="s">
        <v>384</v>
      </c>
      <c r="C82" s="51">
        <f t="shared" si="18"/>
        <v>1</v>
      </c>
      <c r="D82" s="51"/>
      <c r="E82" s="52">
        <f t="shared" si="20"/>
        <v>1</v>
      </c>
      <c r="F82" s="64" t="s">
        <v>439</v>
      </c>
      <c r="G82" s="64" t="s">
        <v>122</v>
      </c>
      <c r="H82" s="55" t="s">
        <v>112</v>
      </c>
      <c r="I82" s="55">
        <v>27501109.800000001</v>
      </c>
      <c r="J82" s="55">
        <v>23961847.199999999</v>
      </c>
      <c r="K82" s="55">
        <v>56523833.700000003</v>
      </c>
      <c r="L82" s="55">
        <v>4550896.9000000004</v>
      </c>
      <c r="M82" s="119" t="s">
        <v>112</v>
      </c>
      <c r="N82" s="57" t="s">
        <v>123</v>
      </c>
      <c r="O82" s="55" t="s">
        <v>112</v>
      </c>
      <c r="P82" s="55" t="s">
        <v>112</v>
      </c>
      <c r="Q82" s="55" t="s">
        <v>112</v>
      </c>
      <c r="R82" s="55" t="s">
        <v>112</v>
      </c>
      <c r="S82" s="55" t="s">
        <v>112</v>
      </c>
      <c r="T82" s="55">
        <f t="shared" si="19"/>
        <v>112537687.60000001</v>
      </c>
      <c r="U82" s="55">
        <v>112593561.79999998</v>
      </c>
      <c r="V82" s="55">
        <f t="shared" si="16"/>
        <v>55874.199999973178</v>
      </c>
      <c r="W82" s="54" t="str">
        <f>'1.2'!F81</f>
        <v>2-255</v>
      </c>
      <c r="X82" s="53">
        <f>'1.1'!H81</f>
        <v>44919</v>
      </c>
      <c r="Y82" s="58">
        <v>12</v>
      </c>
      <c r="Z82" s="58" t="s">
        <v>112</v>
      </c>
      <c r="AA82" s="138" t="s">
        <v>544</v>
      </c>
      <c r="AB82" s="180" t="s">
        <v>112</v>
      </c>
      <c r="AF82" s="7"/>
    </row>
    <row r="83" spans="1:36" s="7" customFormat="1" ht="15" customHeight="1">
      <c r="A83" s="228" t="s">
        <v>70</v>
      </c>
      <c r="B83" s="50" t="s">
        <v>385</v>
      </c>
      <c r="C83" s="51">
        <f t="shared" si="18"/>
        <v>0</v>
      </c>
      <c r="D83" s="51"/>
      <c r="E83" s="52">
        <f t="shared" si="20"/>
        <v>0</v>
      </c>
      <c r="F83" s="64" t="s">
        <v>123</v>
      </c>
      <c r="G83" s="64" t="s">
        <v>123</v>
      </c>
      <c r="H83" s="55" t="s">
        <v>112</v>
      </c>
      <c r="I83" s="55" t="s">
        <v>112</v>
      </c>
      <c r="J83" s="55" t="s">
        <v>112</v>
      </c>
      <c r="K83" s="55" t="s">
        <v>112</v>
      </c>
      <c r="L83" s="55" t="s">
        <v>112</v>
      </c>
      <c r="M83" s="119" t="s">
        <v>112</v>
      </c>
      <c r="N83" s="57" t="s">
        <v>441</v>
      </c>
      <c r="O83" s="55" t="s">
        <v>112</v>
      </c>
      <c r="P83" s="55" t="s">
        <v>112</v>
      </c>
      <c r="Q83" s="55">
        <v>47700</v>
      </c>
      <c r="R83" s="55" t="s">
        <v>112</v>
      </c>
      <c r="S83" s="55" t="s">
        <v>112</v>
      </c>
      <c r="T83" s="55">
        <f t="shared" si="19"/>
        <v>47700</v>
      </c>
      <c r="U83" s="55">
        <v>84599904.700000033</v>
      </c>
      <c r="V83" s="55">
        <f t="shared" si="16"/>
        <v>84552204.700000033</v>
      </c>
      <c r="W83" s="54" t="str">
        <f>'1.2'!F82</f>
        <v>130-ОЗ</v>
      </c>
      <c r="X83" s="53">
        <f>'1.1'!H82</f>
        <v>44546</v>
      </c>
      <c r="Y83" s="58">
        <v>10</v>
      </c>
      <c r="Z83" s="58" t="s">
        <v>112</v>
      </c>
      <c r="AA83" s="185" t="s">
        <v>510</v>
      </c>
      <c r="AB83" s="87" t="s">
        <v>112</v>
      </c>
      <c r="AC83" s="116"/>
      <c r="AD83" s="116"/>
      <c r="AE83" s="116"/>
      <c r="AF83" s="116"/>
      <c r="AG83" s="116"/>
      <c r="AH83" s="116"/>
      <c r="AI83" s="116"/>
      <c r="AJ83"/>
    </row>
    <row r="84" spans="1:36" s="32" customFormat="1" ht="15" customHeight="1">
      <c r="A84" s="228" t="s">
        <v>686</v>
      </c>
      <c r="B84" s="50" t="s">
        <v>383</v>
      </c>
      <c r="C84" s="51">
        <f t="shared" si="18"/>
        <v>2</v>
      </c>
      <c r="D84" s="51"/>
      <c r="E84" s="52">
        <f t="shared" si="20"/>
        <v>2</v>
      </c>
      <c r="F84" s="64" t="s">
        <v>447</v>
      </c>
      <c r="G84" s="64" t="s">
        <v>122</v>
      </c>
      <c r="H84" s="55">
        <v>98045479.299999997</v>
      </c>
      <c r="I84" s="55">
        <v>16156670.800000001</v>
      </c>
      <c r="J84" s="55">
        <v>23353608.100000001</v>
      </c>
      <c r="K84" s="55">
        <v>52691075.100000001</v>
      </c>
      <c r="L84" s="55">
        <v>5844125.2999999998</v>
      </c>
      <c r="M84" s="119"/>
      <c r="N84" s="57" t="s">
        <v>122</v>
      </c>
      <c r="O84" s="55">
        <v>3668.3</v>
      </c>
      <c r="P84" s="55" t="s">
        <v>112</v>
      </c>
      <c r="Q84" s="55">
        <v>67000</v>
      </c>
      <c r="R84" s="55" t="s">
        <v>112</v>
      </c>
      <c r="S84" s="55" t="s">
        <v>112</v>
      </c>
      <c r="T84" s="55">
        <f t="shared" si="19"/>
        <v>98116147.599999994</v>
      </c>
      <c r="U84" s="55">
        <v>98116147.600000009</v>
      </c>
      <c r="V84" s="55">
        <f t="shared" si="16"/>
        <v>0</v>
      </c>
      <c r="W84" s="54" t="str">
        <f>'1.2'!F83</f>
        <v>133-ОЗ</v>
      </c>
      <c r="X84" s="53">
        <f>'1.1'!H83</f>
        <v>44545</v>
      </c>
      <c r="Y84" s="58">
        <v>9</v>
      </c>
      <c r="Z84" s="58">
        <v>11</v>
      </c>
      <c r="AA84" s="138"/>
      <c r="AB84" s="87"/>
      <c r="AC84" s="116"/>
      <c r="AD84" s="116"/>
      <c r="AE84" s="116"/>
      <c r="AF84" s="116"/>
      <c r="AG84" s="116"/>
      <c r="AH84" s="116"/>
      <c r="AI84" s="116"/>
      <c r="AJ84"/>
    </row>
    <row r="85" spans="1:36" ht="15" customHeight="1">
      <c r="A85" s="228" t="s">
        <v>71</v>
      </c>
      <c r="B85" s="50" t="s">
        <v>384</v>
      </c>
      <c r="C85" s="51">
        <f t="shared" si="18"/>
        <v>1</v>
      </c>
      <c r="D85" s="51"/>
      <c r="E85" s="52">
        <f t="shared" si="20"/>
        <v>1</v>
      </c>
      <c r="F85" s="64" t="s">
        <v>439</v>
      </c>
      <c r="G85" s="64" t="s">
        <v>122</v>
      </c>
      <c r="H85" s="55" t="s">
        <v>112</v>
      </c>
      <c r="I85" s="55">
        <v>3952162.7</v>
      </c>
      <c r="J85" s="55">
        <v>34385512.399999999</v>
      </c>
      <c r="K85" s="55">
        <v>44559142.100000001</v>
      </c>
      <c r="L85" s="55">
        <v>2551716.5</v>
      </c>
      <c r="M85" s="119" t="s">
        <v>112</v>
      </c>
      <c r="N85" s="57" t="s">
        <v>123</v>
      </c>
      <c r="O85" s="55">
        <v>4094.6</v>
      </c>
      <c r="P85" s="55" t="s">
        <v>112</v>
      </c>
      <c r="Q85" s="55" t="s">
        <v>112</v>
      </c>
      <c r="R85" s="55" t="s">
        <v>112</v>
      </c>
      <c r="S85" s="55" t="s">
        <v>112</v>
      </c>
      <c r="T85" s="55">
        <f t="shared" si="19"/>
        <v>85452628.299999997</v>
      </c>
      <c r="U85" s="55">
        <v>85480628.400000021</v>
      </c>
      <c r="V85" s="55">
        <f t="shared" si="16"/>
        <v>28000.100000023842</v>
      </c>
      <c r="W85" s="54" t="str">
        <f>'1.2'!F84</f>
        <v>167-ОЗ</v>
      </c>
      <c r="X85" s="53">
        <f>'1.1'!H84</f>
        <v>44553</v>
      </c>
      <c r="Y85" s="58" t="s">
        <v>408</v>
      </c>
      <c r="Z85" s="58" t="s">
        <v>112</v>
      </c>
      <c r="AA85" s="138" t="s">
        <v>538</v>
      </c>
      <c r="AB85" s="87" t="s">
        <v>112</v>
      </c>
      <c r="AC85" s="116"/>
      <c r="AD85" s="116"/>
      <c r="AE85" s="116"/>
      <c r="AF85" s="116"/>
      <c r="AG85" s="116"/>
      <c r="AH85" s="116"/>
      <c r="AI85" s="116"/>
    </row>
    <row r="86" spans="1:36" s="32" customFormat="1" ht="15" customHeight="1">
      <c r="A86" s="228" t="s">
        <v>72</v>
      </c>
      <c r="B86" s="50" t="s">
        <v>383</v>
      </c>
      <c r="C86" s="51">
        <f t="shared" si="18"/>
        <v>2</v>
      </c>
      <c r="D86" s="51"/>
      <c r="E86" s="52">
        <f t="shared" si="20"/>
        <v>2</v>
      </c>
      <c r="F86" s="64" t="s">
        <v>447</v>
      </c>
      <c r="G86" s="64" t="s">
        <v>122</v>
      </c>
      <c r="H86" s="55" t="s">
        <v>112</v>
      </c>
      <c r="I86" s="55">
        <f>2919720.499+250+622691.64116</f>
        <v>3542662.14016</v>
      </c>
      <c r="J86" s="55">
        <f>8086881.99651</f>
        <v>8086881.99651</v>
      </c>
      <c r="K86" s="55">
        <f>17870628.92583</f>
        <v>17870628.925829999</v>
      </c>
      <c r="L86" s="55">
        <f>1138358.29</f>
        <v>1138358.29</v>
      </c>
      <c r="M86" s="119" t="s">
        <v>112</v>
      </c>
      <c r="N86" s="57" t="s">
        <v>122</v>
      </c>
      <c r="O86" s="55">
        <f>1812.1</f>
        <v>1812.1</v>
      </c>
      <c r="P86" s="55" t="s">
        <v>112</v>
      </c>
      <c r="Q86" s="55">
        <v>58000</v>
      </c>
      <c r="R86" s="55" t="s">
        <v>112</v>
      </c>
      <c r="S86" s="55" t="s">
        <v>112</v>
      </c>
      <c r="T86" s="55">
        <f t="shared" si="19"/>
        <v>30698343.452500001</v>
      </c>
      <c r="U86" s="55">
        <v>30698343.452500001</v>
      </c>
      <c r="V86" s="55">
        <f t="shared" si="16"/>
        <v>0</v>
      </c>
      <c r="W86" s="54" t="str">
        <f>'1.2'!F85</f>
        <v>2450-ОЗ</v>
      </c>
      <c r="X86" s="53">
        <f>'1.1'!H85</f>
        <v>44546</v>
      </c>
      <c r="Y86" s="58">
        <v>9</v>
      </c>
      <c r="Z86" s="58" t="s">
        <v>112</v>
      </c>
      <c r="AA86" s="138" t="s">
        <v>112</v>
      </c>
      <c r="AB86" s="87"/>
      <c r="AC86" s="116"/>
      <c r="AD86" s="116"/>
      <c r="AE86" s="116"/>
      <c r="AF86" s="116"/>
      <c r="AG86" s="116"/>
      <c r="AH86" s="116"/>
      <c r="AI86" s="116"/>
      <c r="AJ86"/>
    </row>
    <row r="87" spans="1:36" s="32" customFormat="1" ht="15" customHeight="1">
      <c r="A87" s="228" t="s">
        <v>73</v>
      </c>
      <c r="B87" s="50" t="s">
        <v>384</v>
      </c>
      <c r="C87" s="51">
        <f t="shared" si="18"/>
        <v>1</v>
      </c>
      <c r="D87" s="51"/>
      <c r="E87" s="52">
        <f t="shared" si="20"/>
        <v>1</v>
      </c>
      <c r="F87" s="64" t="s">
        <v>439</v>
      </c>
      <c r="G87" s="64" t="s">
        <v>122</v>
      </c>
      <c r="H87" s="55">
        <v>32611378.5</v>
      </c>
      <c r="I87" s="55">
        <v>5860830.9000000004</v>
      </c>
      <c r="J87" s="55">
        <v>8578972.1999999993</v>
      </c>
      <c r="K87" s="55">
        <v>15886851.800000001</v>
      </c>
      <c r="L87" s="55">
        <v>2284723.6</v>
      </c>
      <c r="M87" s="119">
        <f>H87-(I87+J87+K87+L87)</f>
        <v>0</v>
      </c>
      <c r="N87" s="57" t="s">
        <v>123</v>
      </c>
      <c r="O87" s="55">
        <v>959.5</v>
      </c>
      <c r="P87" s="55">
        <v>180343.1</v>
      </c>
      <c r="Q87" s="55" t="s">
        <v>112</v>
      </c>
      <c r="R87" s="55" t="s">
        <v>112</v>
      </c>
      <c r="S87" s="55" t="s">
        <v>112</v>
      </c>
      <c r="T87" s="55">
        <f t="shared" si="19"/>
        <v>32792681.100000001</v>
      </c>
      <c r="U87" s="55">
        <v>32807708.400000006</v>
      </c>
      <c r="V87" s="55">
        <f t="shared" si="16"/>
        <v>15027.30000000447</v>
      </c>
      <c r="W87" s="54" t="str">
        <f>'1.2'!F86</f>
        <v>136-ОЗ</v>
      </c>
      <c r="X87" s="53">
        <f>'1.1'!H86</f>
        <v>44559</v>
      </c>
      <c r="Y87" s="58" t="s">
        <v>149</v>
      </c>
      <c r="Z87" s="58" t="s">
        <v>395</v>
      </c>
      <c r="AA87" s="138" t="s">
        <v>539</v>
      </c>
      <c r="AB87" s="87" t="s">
        <v>112</v>
      </c>
      <c r="AC87" s="116"/>
      <c r="AD87" s="116"/>
      <c r="AE87" s="116"/>
      <c r="AF87" s="116"/>
      <c r="AG87" s="116"/>
      <c r="AH87" s="116"/>
      <c r="AI87" s="116"/>
      <c r="AJ87"/>
    </row>
    <row r="88" spans="1:36" ht="15" customHeight="1">
      <c r="A88" s="227" t="s">
        <v>74</v>
      </c>
      <c r="B88" s="47"/>
      <c r="C88" s="47"/>
      <c r="D88" s="47"/>
      <c r="E88" s="47"/>
      <c r="F88" s="65"/>
      <c r="G88" s="65"/>
      <c r="H88" s="62"/>
      <c r="I88" s="62"/>
      <c r="J88" s="62"/>
      <c r="K88" s="62"/>
      <c r="L88" s="62"/>
      <c r="M88" s="128"/>
      <c r="N88" s="62"/>
      <c r="O88" s="62"/>
      <c r="P88" s="62"/>
      <c r="Q88" s="62"/>
      <c r="R88" s="62"/>
      <c r="S88" s="62"/>
      <c r="T88" s="62"/>
      <c r="U88" s="62"/>
      <c r="V88" s="62"/>
      <c r="W88" s="59"/>
      <c r="X88" s="60"/>
      <c r="Y88" s="124"/>
      <c r="Z88" s="49"/>
      <c r="AA88" s="187"/>
      <c r="AB88" s="87"/>
      <c r="AC88" s="116"/>
      <c r="AD88" s="116"/>
      <c r="AE88" s="116"/>
      <c r="AF88" s="116"/>
      <c r="AG88" s="116"/>
      <c r="AH88" s="116"/>
      <c r="AI88" s="116"/>
    </row>
    <row r="89" spans="1:36" s="32" customFormat="1" ht="15" customHeight="1">
      <c r="A89" s="228" t="s">
        <v>64</v>
      </c>
      <c r="B89" s="50" t="s">
        <v>384</v>
      </c>
      <c r="C89" s="51">
        <f t="shared" si="18"/>
        <v>1</v>
      </c>
      <c r="D89" s="51"/>
      <c r="E89" s="52">
        <f t="shared" ref="E89:E99" si="22">C89*(1-D89)</f>
        <v>1</v>
      </c>
      <c r="F89" s="64" t="s">
        <v>439</v>
      </c>
      <c r="G89" s="64" t="s">
        <v>122</v>
      </c>
      <c r="H89" s="55">
        <v>34013313.100000001</v>
      </c>
      <c r="I89" s="55">
        <v>2858518.1</v>
      </c>
      <c r="J89" s="55">
        <v>16644450.800000001</v>
      </c>
      <c r="K89" s="55">
        <v>11018056.6</v>
      </c>
      <c r="L89" s="55">
        <v>3492287.8</v>
      </c>
      <c r="M89" s="119">
        <f>H89-(I89+J89+K89+L89)</f>
        <v>-0.19999999552965164</v>
      </c>
      <c r="N89" s="57" t="s">
        <v>123</v>
      </c>
      <c r="O89" s="55" t="s">
        <v>112</v>
      </c>
      <c r="P89" s="55" t="s">
        <v>112</v>
      </c>
      <c r="Q89" s="55" t="s">
        <v>112</v>
      </c>
      <c r="R89" s="55" t="s">
        <v>112</v>
      </c>
      <c r="S89" s="55" t="s">
        <v>112</v>
      </c>
      <c r="T89" s="55">
        <f t="shared" si="19"/>
        <v>34013313.100000001</v>
      </c>
      <c r="U89" s="55">
        <v>34067313.099999987</v>
      </c>
      <c r="V89" s="55">
        <f t="shared" si="16"/>
        <v>53999.999999985099</v>
      </c>
      <c r="W89" s="54" t="str">
        <f>'1.2'!F88</f>
        <v>1932-VI</v>
      </c>
      <c r="X89" s="53">
        <f>'1.1'!H88</f>
        <v>44553</v>
      </c>
      <c r="Y89" s="58">
        <v>6</v>
      </c>
      <c r="Z89" s="58" t="s">
        <v>112</v>
      </c>
      <c r="AA89" s="138" t="s">
        <v>540</v>
      </c>
      <c r="AB89" s="87" t="s">
        <v>112</v>
      </c>
      <c r="AC89" s="116"/>
      <c r="AD89" s="116"/>
      <c r="AE89" s="116"/>
      <c r="AF89" s="116"/>
      <c r="AG89" s="116"/>
      <c r="AH89" s="116"/>
      <c r="AI89" s="116"/>
      <c r="AJ89"/>
    </row>
    <row r="90" spans="1:36" s="32" customFormat="1" ht="15" customHeight="1">
      <c r="A90" s="228" t="s">
        <v>75</v>
      </c>
      <c r="B90" s="50" t="s">
        <v>383</v>
      </c>
      <c r="C90" s="51">
        <f t="shared" si="18"/>
        <v>2</v>
      </c>
      <c r="D90" s="51"/>
      <c r="E90" s="52">
        <f t="shared" si="22"/>
        <v>2</v>
      </c>
      <c r="F90" s="64" t="s">
        <v>447</v>
      </c>
      <c r="G90" s="64" t="s">
        <v>122</v>
      </c>
      <c r="H90" s="55">
        <v>90554250</v>
      </c>
      <c r="I90" s="55">
        <f>22833039.7+699999.6</f>
        <v>23533039.300000001</v>
      </c>
      <c r="J90" s="55">
        <v>8578715.8000000007</v>
      </c>
      <c r="K90" s="55">
        <v>56377641</v>
      </c>
      <c r="L90" s="55">
        <v>2064853.9</v>
      </c>
      <c r="M90" s="119">
        <f>H90-(I90+J90+K90+L90)</f>
        <v>0</v>
      </c>
      <c r="N90" s="57" t="s">
        <v>122</v>
      </c>
      <c r="O90" s="55" t="s">
        <v>112</v>
      </c>
      <c r="P90" s="55" t="s">
        <v>112</v>
      </c>
      <c r="Q90" s="55">
        <v>39375</v>
      </c>
      <c r="R90" s="55">
        <v>1463578.1</v>
      </c>
      <c r="S90" s="55" t="s">
        <v>112</v>
      </c>
      <c r="T90" s="55">
        <f t="shared" si="19"/>
        <v>92057203.099999994</v>
      </c>
      <c r="U90" s="55">
        <v>92057203</v>
      </c>
      <c r="V90" s="55">
        <f t="shared" si="16"/>
        <v>-9.9999994039535522E-2</v>
      </c>
      <c r="W90" s="54" t="str">
        <f>'1.2'!F89</f>
        <v>2416-З N 743-VI</v>
      </c>
      <c r="X90" s="53">
        <f>'1.1'!H89</f>
        <v>44530</v>
      </c>
      <c r="Y90" s="58">
        <v>7</v>
      </c>
      <c r="Z90" s="58" t="s">
        <v>112</v>
      </c>
      <c r="AA90" s="138" t="s">
        <v>511</v>
      </c>
      <c r="AB90" s="87" t="s">
        <v>112</v>
      </c>
      <c r="AC90" s="116"/>
      <c r="AD90" s="116"/>
      <c r="AE90" s="116"/>
      <c r="AF90" s="116"/>
      <c r="AG90" s="116"/>
      <c r="AH90" s="116"/>
      <c r="AI90" s="116"/>
      <c r="AJ90"/>
    </row>
    <row r="91" spans="1:36" s="32" customFormat="1" ht="15" customHeight="1">
      <c r="A91" s="228" t="s">
        <v>68</v>
      </c>
      <c r="B91" s="50" t="s">
        <v>383</v>
      </c>
      <c r="C91" s="51">
        <f t="shared" si="18"/>
        <v>2</v>
      </c>
      <c r="D91" s="51"/>
      <c r="E91" s="52">
        <f t="shared" si="22"/>
        <v>2</v>
      </c>
      <c r="F91" s="64" t="s">
        <v>447</v>
      </c>
      <c r="G91" s="64" t="s">
        <v>122</v>
      </c>
      <c r="H91" s="55">
        <v>27031903.600000001</v>
      </c>
      <c r="I91" s="55">
        <v>5423560</v>
      </c>
      <c r="J91" s="55">
        <v>4554531.8</v>
      </c>
      <c r="K91" s="55">
        <v>13097256.800000001</v>
      </c>
      <c r="L91" s="55">
        <v>3956555</v>
      </c>
      <c r="M91" s="119">
        <f t="shared" ref="M91:M93" si="23">H91-(I91+J91+K91+L91)</f>
        <v>0</v>
      </c>
      <c r="N91" s="57" t="s">
        <v>122</v>
      </c>
      <c r="O91" s="55">
        <v>5183.7</v>
      </c>
      <c r="P91" s="55" t="s">
        <v>112</v>
      </c>
      <c r="Q91" s="55">
        <v>12000</v>
      </c>
      <c r="R91" s="55" t="s">
        <v>112</v>
      </c>
      <c r="S91" s="55" t="s">
        <v>112</v>
      </c>
      <c r="T91" s="55">
        <f t="shared" si="19"/>
        <v>27049087.300000001</v>
      </c>
      <c r="U91" s="55">
        <v>27049087.299999997</v>
      </c>
      <c r="V91" s="55">
        <f t="shared" si="16"/>
        <v>0</v>
      </c>
      <c r="W91" s="54" t="str">
        <f>'1.2'!F90</f>
        <v>2007-ЗЗК</v>
      </c>
      <c r="X91" s="53">
        <f>'1.1'!H90</f>
        <v>44560</v>
      </c>
      <c r="Y91" s="58">
        <v>9</v>
      </c>
      <c r="Z91" s="58" t="s">
        <v>418</v>
      </c>
      <c r="AA91" s="138" t="s">
        <v>112</v>
      </c>
      <c r="AB91" s="87" t="s">
        <v>112</v>
      </c>
      <c r="AC91" s="116"/>
      <c r="AD91" s="116"/>
      <c r="AE91" s="116"/>
      <c r="AF91" s="116"/>
      <c r="AG91" s="116"/>
      <c r="AH91" s="116"/>
      <c r="AI91" s="116"/>
      <c r="AJ91"/>
    </row>
    <row r="92" spans="1:36" s="32" customFormat="1" ht="15" customHeight="1">
      <c r="A92" s="228" t="s">
        <v>76</v>
      </c>
      <c r="B92" s="50" t="s">
        <v>384</v>
      </c>
      <c r="C92" s="51">
        <f t="shared" si="18"/>
        <v>1</v>
      </c>
      <c r="D92" s="51"/>
      <c r="E92" s="52">
        <f t="shared" si="22"/>
        <v>1</v>
      </c>
      <c r="F92" s="64" t="s">
        <v>439</v>
      </c>
      <c r="G92" s="64" t="s">
        <v>122</v>
      </c>
      <c r="H92" s="55">
        <v>22659476.01461</v>
      </c>
      <c r="I92" s="55">
        <f>1837334+936876</f>
        <v>2774210</v>
      </c>
      <c r="J92" s="55">
        <v>5343628.7232600003</v>
      </c>
      <c r="K92" s="55">
        <v>13690451.991350001</v>
      </c>
      <c r="L92" s="55">
        <v>851185.3</v>
      </c>
      <c r="M92" s="119">
        <f t="shared" si="23"/>
        <v>0</v>
      </c>
      <c r="N92" s="57" t="s">
        <v>123</v>
      </c>
      <c r="O92" s="55" t="s">
        <v>112</v>
      </c>
      <c r="P92" s="55" t="s">
        <v>112</v>
      </c>
      <c r="Q92" s="55" t="s">
        <v>112</v>
      </c>
      <c r="R92" s="55" t="s">
        <v>112</v>
      </c>
      <c r="S92" s="55" t="s">
        <v>112</v>
      </c>
      <c r="T92" s="55">
        <f t="shared" si="19"/>
        <v>22659476.014610004</v>
      </c>
      <c r="U92" s="55">
        <v>22664476.014609993</v>
      </c>
      <c r="V92" s="55">
        <f t="shared" si="16"/>
        <v>4999.9999999888241</v>
      </c>
      <c r="W92" s="54">
        <f>'1.2'!F91</f>
        <v>5</v>
      </c>
      <c r="X92" s="53">
        <f>'1.1'!H91</f>
        <v>44526</v>
      </c>
      <c r="Y92" s="58">
        <v>6</v>
      </c>
      <c r="Z92" s="58" t="s">
        <v>112</v>
      </c>
      <c r="AA92" s="138" t="s">
        <v>669</v>
      </c>
      <c r="AB92" s="87" t="s">
        <v>112</v>
      </c>
      <c r="AC92" s="116"/>
      <c r="AD92" s="116"/>
      <c r="AE92" s="116"/>
      <c r="AF92" s="116"/>
      <c r="AG92" s="116"/>
      <c r="AH92" s="116"/>
      <c r="AI92" s="116"/>
      <c r="AJ92"/>
    </row>
    <row r="93" spans="1:36" ht="15" customHeight="1">
      <c r="A93" s="228" t="s">
        <v>77</v>
      </c>
      <c r="B93" s="50" t="s">
        <v>384</v>
      </c>
      <c r="C93" s="51">
        <f t="shared" si="18"/>
        <v>1</v>
      </c>
      <c r="D93" s="51"/>
      <c r="E93" s="52">
        <f t="shared" si="22"/>
        <v>1</v>
      </c>
      <c r="F93" s="64" t="s">
        <v>439</v>
      </c>
      <c r="G93" s="64" t="s">
        <v>122</v>
      </c>
      <c r="H93" s="55">
        <f>45802181917.48/1000</f>
        <v>45802181.917480007</v>
      </c>
      <c r="I93" s="55">
        <f>3621610865.36/1000</f>
        <v>3621610.8653600002</v>
      </c>
      <c r="J93" s="55">
        <f>15818082567.58/1000</f>
        <v>15818082.56758</v>
      </c>
      <c r="K93" s="55">
        <f>24495682184.54/1000</f>
        <v>24495682.18454</v>
      </c>
      <c r="L93" s="55">
        <f>1866806300/1000</f>
        <v>1866806.3</v>
      </c>
      <c r="M93" s="119">
        <f t="shared" si="23"/>
        <v>0</v>
      </c>
      <c r="N93" s="57" t="s">
        <v>123</v>
      </c>
      <c r="O93" s="55">
        <f>1667000/1000</f>
        <v>1667</v>
      </c>
      <c r="P93" s="55" t="s">
        <v>112</v>
      </c>
      <c r="Q93" s="55" t="s">
        <v>112</v>
      </c>
      <c r="R93" s="55">
        <f>216000000/1000</f>
        <v>216000</v>
      </c>
      <c r="S93" s="55" t="s">
        <v>112</v>
      </c>
      <c r="T93" s="55">
        <f t="shared" si="19"/>
        <v>46019848.917479992</v>
      </c>
      <c r="U93" s="55">
        <v>46044848.917479999</v>
      </c>
      <c r="V93" s="55">
        <f t="shared" si="16"/>
        <v>25000.000000007451</v>
      </c>
      <c r="W93" s="54" t="str">
        <f>'1.2'!F92</f>
        <v>31-КЗ</v>
      </c>
      <c r="X93" s="53">
        <f>'1.1'!H92</f>
        <v>44551</v>
      </c>
      <c r="Y93" s="58">
        <v>9</v>
      </c>
      <c r="Z93" s="58" t="s">
        <v>112</v>
      </c>
      <c r="AA93" s="138" t="s">
        <v>541</v>
      </c>
      <c r="AB93" s="87" t="s">
        <v>112</v>
      </c>
      <c r="AC93" s="116"/>
      <c r="AD93" s="116"/>
      <c r="AE93" s="116"/>
      <c r="AF93" s="116"/>
      <c r="AG93" s="116"/>
      <c r="AH93" s="116"/>
      <c r="AI93" s="116"/>
    </row>
    <row r="94" spans="1:36" ht="15" customHeight="1">
      <c r="A94" s="228" t="s">
        <v>78</v>
      </c>
      <c r="B94" s="50" t="s">
        <v>383</v>
      </c>
      <c r="C94" s="51">
        <f t="shared" si="18"/>
        <v>2</v>
      </c>
      <c r="D94" s="51"/>
      <c r="E94" s="52">
        <f t="shared" si="22"/>
        <v>2</v>
      </c>
      <c r="F94" s="64" t="s">
        <v>447</v>
      </c>
      <c r="G94" s="64" t="s">
        <v>122</v>
      </c>
      <c r="H94" s="55" t="s">
        <v>112</v>
      </c>
      <c r="I94" s="55">
        <f>948764.18+4016514.8+259916.77+10000</f>
        <v>5235195.7499999991</v>
      </c>
      <c r="J94" s="55">
        <v>6195803.8700000001</v>
      </c>
      <c r="K94" s="55">
        <v>19709930.859999999</v>
      </c>
      <c r="L94" s="55">
        <v>356626.97</v>
      </c>
      <c r="M94" s="119" t="s">
        <v>112</v>
      </c>
      <c r="N94" s="57" t="s">
        <v>122</v>
      </c>
      <c r="O94" s="55">
        <v>2674.4</v>
      </c>
      <c r="P94" s="55" t="s">
        <v>112</v>
      </c>
      <c r="Q94" s="55">
        <v>14000</v>
      </c>
      <c r="R94" s="55" t="s">
        <v>112</v>
      </c>
      <c r="S94" s="55" t="s">
        <v>112</v>
      </c>
      <c r="T94" s="55">
        <f t="shared" si="19"/>
        <v>31514231.849999994</v>
      </c>
      <c r="U94" s="55">
        <v>31514231.849999983</v>
      </c>
      <c r="V94" s="55">
        <f t="shared" si="16"/>
        <v>0</v>
      </c>
      <c r="W94" s="54">
        <f>'1.2'!F93</f>
        <v>247</v>
      </c>
      <c r="X94" s="53">
        <f>'1.1'!H93</f>
        <v>44510</v>
      </c>
      <c r="Y94" s="58">
        <v>6</v>
      </c>
      <c r="Z94" s="58">
        <v>11</v>
      </c>
      <c r="AA94" s="138" t="s">
        <v>546</v>
      </c>
      <c r="AB94" s="87" t="s">
        <v>112</v>
      </c>
      <c r="AC94" s="116"/>
      <c r="AD94" s="116"/>
      <c r="AE94" s="116"/>
      <c r="AF94" s="116"/>
      <c r="AG94" s="116"/>
      <c r="AH94" s="116"/>
      <c r="AI94" s="116"/>
    </row>
    <row r="95" spans="1:36" ht="15" customHeight="1">
      <c r="A95" s="228" t="s">
        <v>79</v>
      </c>
      <c r="B95" s="50" t="s">
        <v>384</v>
      </c>
      <c r="C95" s="51">
        <f t="shared" si="18"/>
        <v>1</v>
      </c>
      <c r="D95" s="51"/>
      <c r="E95" s="52">
        <f t="shared" si="22"/>
        <v>1</v>
      </c>
      <c r="F95" s="64" t="s">
        <v>439</v>
      </c>
      <c r="G95" s="64" t="s">
        <v>122</v>
      </c>
      <c r="H95" s="55">
        <v>34863080.299999997</v>
      </c>
      <c r="I95" s="55">
        <v>1968814.9</v>
      </c>
      <c r="J95" s="55">
        <v>16292238.1</v>
      </c>
      <c r="K95" s="55">
        <v>14771378.199999999</v>
      </c>
      <c r="L95" s="55">
        <v>1830649.1</v>
      </c>
      <c r="M95" s="119">
        <f t="shared" ref="M95:M98" si="24">H95-(I95+J95+K95+L95)</f>
        <v>0</v>
      </c>
      <c r="N95" s="57" t="s">
        <v>123</v>
      </c>
      <c r="O95" s="55">
        <v>1347.9</v>
      </c>
      <c r="P95" s="55" t="s">
        <v>112</v>
      </c>
      <c r="Q95" s="55" t="s">
        <v>112</v>
      </c>
      <c r="R95" s="55" t="s">
        <v>112</v>
      </c>
      <c r="S95" s="55" t="s">
        <v>112</v>
      </c>
      <c r="T95" s="55">
        <f t="shared" si="19"/>
        <v>34864428.199999996</v>
      </c>
      <c r="U95" s="55">
        <v>34891073.600000001</v>
      </c>
      <c r="V95" s="55">
        <f t="shared" si="16"/>
        <v>26645.40000000596</v>
      </c>
      <c r="W95" s="54" t="str">
        <f>'1.2'!F94</f>
        <v>48-ОЗ</v>
      </c>
      <c r="X95" s="53">
        <f>'1.1'!H94</f>
        <v>44539</v>
      </c>
      <c r="Y95" s="58">
        <v>11</v>
      </c>
      <c r="Z95" s="58">
        <v>100</v>
      </c>
      <c r="AA95" s="138" t="s">
        <v>542</v>
      </c>
      <c r="AB95" s="87" t="s">
        <v>112</v>
      </c>
      <c r="AC95" s="116"/>
      <c r="AD95" s="116"/>
      <c r="AE95" s="116"/>
      <c r="AF95" s="116"/>
      <c r="AG95" s="116"/>
      <c r="AH95" s="116"/>
      <c r="AI95" s="116"/>
    </row>
    <row r="96" spans="1:36" s="32" customFormat="1" ht="15" customHeight="1">
      <c r="A96" s="228" t="s">
        <v>80</v>
      </c>
      <c r="B96" s="50" t="s">
        <v>384</v>
      </c>
      <c r="C96" s="51">
        <f t="shared" si="18"/>
        <v>1</v>
      </c>
      <c r="D96" s="51"/>
      <c r="E96" s="52">
        <f t="shared" si="22"/>
        <v>1</v>
      </c>
      <c r="F96" s="64" t="s">
        <v>439</v>
      </c>
      <c r="G96" s="64" t="s">
        <v>122</v>
      </c>
      <c r="H96" s="55" t="s">
        <v>112</v>
      </c>
      <c r="I96" s="55">
        <f>3145000+475000</f>
        <v>3620000</v>
      </c>
      <c r="J96" s="55">
        <v>2183630.2999999998</v>
      </c>
      <c r="K96" s="55">
        <v>5436219.2999999998</v>
      </c>
      <c r="L96" s="55">
        <f>147246.4+10000+50000+15000</f>
        <v>222246.39999999999</v>
      </c>
      <c r="M96" s="119" t="s">
        <v>112</v>
      </c>
      <c r="N96" s="57" t="s">
        <v>123</v>
      </c>
      <c r="O96" s="55" t="s">
        <v>112</v>
      </c>
      <c r="P96" s="55" t="s">
        <v>112</v>
      </c>
      <c r="Q96" s="55" t="s">
        <v>112</v>
      </c>
      <c r="R96" s="55" t="s">
        <v>112</v>
      </c>
      <c r="S96" s="55" t="s">
        <v>112</v>
      </c>
      <c r="T96" s="55">
        <f t="shared" si="19"/>
        <v>11462096</v>
      </c>
      <c r="U96" s="55">
        <v>11469552.599999996</v>
      </c>
      <c r="V96" s="55">
        <f t="shared" si="16"/>
        <v>7456.5999999959022</v>
      </c>
      <c r="W96" s="54" t="str">
        <f>'1.2'!F95</f>
        <v>2655-ОЗ</v>
      </c>
      <c r="X96" s="53">
        <f>'1.1'!H95</f>
        <v>44533</v>
      </c>
      <c r="Y96" s="58" t="s">
        <v>409</v>
      </c>
      <c r="Z96" s="58" t="s">
        <v>112</v>
      </c>
      <c r="AA96" s="138" t="s">
        <v>543</v>
      </c>
      <c r="AB96" s="87" t="s">
        <v>112</v>
      </c>
      <c r="AC96" s="116"/>
      <c r="AD96" s="116"/>
      <c r="AE96" s="116"/>
      <c r="AF96" s="116"/>
      <c r="AG96" s="116"/>
      <c r="AH96" s="116"/>
      <c r="AI96" s="116"/>
      <c r="AJ96"/>
    </row>
    <row r="97" spans="1:41" s="32" customFormat="1" ht="15" customHeight="1">
      <c r="A97" s="228" t="s">
        <v>81</v>
      </c>
      <c r="B97" s="50" t="s">
        <v>385</v>
      </c>
      <c r="C97" s="51">
        <f t="shared" si="18"/>
        <v>0</v>
      </c>
      <c r="D97" s="51"/>
      <c r="E97" s="52">
        <f t="shared" si="22"/>
        <v>0</v>
      </c>
      <c r="F97" s="64" t="s">
        <v>518</v>
      </c>
      <c r="G97" s="64" t="s">
        <v>501</v>
      </c>
      <c r="H97" s="55">
        <v>50934859.5</v>
      </c>
      <c r="I97" s="55">
        <v>8962709.6999999993</v>
      </c>
      <c r="J97" s="55">
        <v>20364482.100000001</v>
      </c>
      <c r="K97" s="55">
        <v>21039735.199999999</v>
      </c>
      <c r="L97" s="55">
        <v>567932.5</v>
      </c>
      <c r="M97" s="119">
        <f t="shared" si="24"/>
        <v>0</v>
      </c>
      <c r="N97" s="57" t="s">
        <v>123</v>
      </c>
      <c r="O97" s="55" t="s">
        <v>112</v>
      </c>
      <c r="P97" s="55" t="s">
        <v>112</v>
      </c>
      <c r="Q97" s="55" t="s">
        <v>112</v>
      </c>
      <c r="R97" s="55">
        <v>47893.9</v>
      </c>
      <c r="S97" s="55" t="s">
        <v>112</v>
      </c>
      <c r="T97" s="55">
        <f>SUM(I97:S97)</f>
        <v>50982753.399999999</v>
      </c>
      <c r="U97" s="55">
        <v>51050073.700000003</v>
      </c>
      <c r="V97" s="55">
        <f>U97-T97</f>
        <v>67320.30000000447</v>
      </c>
      <c r="W97" s="54" t="str">
        <f>'1.2'!F96</f>
        <v>107-ЗО</v>
      </c>
      <c r="X97" s="53">
        <f>'1.1'!H96</f>
        <v>44552</v>
      </c>
      <c r="Y97" s="58">
        <v>2</v>
      </c>
      <c r="Z97" s="58" t="s">
        <v>112</v>
      </c>
      <c r="AA97" s="188" t="s">
        <v>670</v>
      </c>
      <c r="AB97" s="87" t="s">
        <v>112</v>
      </c>
      <c r="AC97" s="116"/>
      <c r="AD97" s="116"/>
      <c r="AE97" s="116"/>
      <c r="AF97" s="116"/>
      <c r="AG97" s="116"/>
      <c r="AH97" s="116"/>
      <c r="AI97" s="116"/>
      <c r="AJ97"/>
    </row>
    <row r="98" spans="1:41" s="32" customFormat="1" ht="15" customHeight="1">
      <c r="A98" s="228" t="s">
        <v>82</v>
      </c>
      <c r="B98" s="50" t="s">
        <v>383</v>
      </c>
      <c r="C98" s="51">
        <f t="shared" si="18"/>
        <v>2</v>
      </c>
      <c r="D98" s="51"/>
      <c r="E98" s="52">
        <f t="shared" si="22"/>
        <v>2</v>
      </c>
      <c r="F98" s="64" t="s">
        <v>447</v>
      </c>
      <c r="G98" s="64" t="s">
        <v>122</v>
      </c>
      <c r="H98" s="55">
        <v>4077329.1</v>
      </c>
      <c r="I98" s="55">
        <v>788600</v>
      </c>
      <c r="J98" s="55">
        <v>974501.4</v>
      </c>
      <c r="K98" s="55">
        <v>2009940.7</v>
      </c>
      <c r="L98" s="55">
        <v>304287</v>
      </c>
      <c r="M98" s="119">
        <f t="shared" si="24"/>
        <v>0</v>
      </c>
      <c r="N98" s="57" t="s">
        <v>122</v>
      </c>
      <c r="O98" s="55">
        <v>494</v>
      </c>
      <c r="P98" s="55" t="s">
        <v>112</v>
      </c>
      <c r="Q98" s="55">
        <v>3300</v>
      </c>
      <c r="R98" s="55">
        <v>29476</v>
      </c>
      <c r="S98" s="55" t="s">
        <v>112</v>
      </c>
      <c r="T98" s="55">
        <f t="shared" si="19"/>
        <v>4110599.0999999996</v>
      </c>
      <c r="U98" s="55">
        <v>4110599.1000000006</v>
      </c>
      <c r="V98" s="55">
        <f t="shared" si="16"/>
        <v>0</v>
      </c>
      <c r="W98" s="54" t="str">
        <f>'1.2'!F97</f>
        <v>49-ОЗ</v>
      </c>
      <c r="X98" s="53">
        <f>'1.1'!H97</f>
        <v>44544</v>
      </c>
      <c r="Y98" s="58">
        <v>13</v>
      </c>
      <c r="Z98" s="58" t="s">
        <v>112</v>
      </c>
      <c r="AA98" s="188" t="s">
        <v>112</v>
      </c>
      <c r="AB98" s="87" t="s">
        <v>112</v>
      </c>
      <c r="AC98" s="116"/>
      <c r="AD98" s="116"/>
      <c r="AE98" s="116"/>
      <c r="AF98" s="116"/>
      <c r="AG98" s="116"/>
      <c r="AH98" s="116"/>
      <c r="AI98" s="116"/>
      <c r="AJ98"/>
    </row>
    <row r="99" spans="1:41" s="32" customFormat="1" ht="15" customHeight="1">
      <c r="A99" s="228" t="s">
        <v>83</v>
      </c>
      <c r="B99" s="50" t="s">
        <v>383</v>
      </c>
      <c r="C99" s="51">
        <f t="shared" si="18"/>
        <v>2</v>
      </c>
      <c r="D99" s="51"/>
      <c r="E99" s="52">
        <f t="shared" si="22"/>
        <v>2</v>
      </c>
      <c r="F99" s="64" t="s">
        <v>447</v>
      </c>
      <c r="G99" s="64" t="s">
        <v>122</v>
      </c>
      <c r="H99" s="55">
        <v>13028566.300000001</v>
      </c>
      <c r="I99" s="55">
        <v>3974044</v>
      </c>
      <c r="J99" s="55">
        <v>3843698</v>
      </c>
      <c r="K99" s="55">
        <v>4894659.3</v>
      </c>
      <c r="L99" s="55">
        <v>316165</v>
      </c>
      <c r="M99" s="119" t="s">
        <v>112</v>
      </c>
      <c r="N99" s="57" t="s">
        <v>122</v>
      </c>
      <c r="O99" s="55">
        <v>302.60000000000002</v>
      </c>
      <c r="P99" s="55" t="s">
        <v>112</v>
      </c>
      <c r="Q99" s="55">
        <v>1169651.7</v>
      </c>
      <c r="R99" s="55" t="s">
        <v>112</v>
      </c>
      <c r="S99" s="55" t="s">
        <v>112</v>
      </c>
      <c r="T99" s="55">
        <f t="shared" si="19"/>
        <v>14198520.6</v>
      </c>
      <c r="U99" s="55">
        <v>14198520.600000001</v>
      </c>
      <c r="V99" s="55">
        <f t="shared" si="16"/>
        <v>0</v>
      </c>
      <c r="W99" s="54" t="str">
        <f>'1.2'!F98</f>
        <v>67-ОЗ</v>
      </c>
      <c r="X99" s="53">
        <f>'1.1'!H98</f>
        <v>44531</v>
      </c>
      <c r="Y99" s="58" t="s">
        <v>410</v>
      </c>
      <c r="Z99" s="58" t="s">
        <v>163</v>
      </c>
      <c r="AA99" s="188" t="s">
        <v>112</v>
      </c>
      <c r="AB99" s="87" t="s">
        <v>112</v>
      </c>
      <c r="AC99" s="116"/>
      <c r="AD99" s="116"/>
      <c r="AE99" s="116"/>
      <c r="AF99" s="116"/>
      <c r="AG99" s="116"/>
      <c r="AH99" s="116"/>
      <c r="AI99" s="116"/>
      <c r="AJ99"/>
    </row>
    <row r="100" spans="1:41" ht="15" customHeight="1">
      <c r="A100" s="43"/>
      <c r="N100" s="44"/>
      <c r="AA100" s="116"/>
      <c r="AB100" s="87"/>
      <c r="AC100" s="116"/>
      <c r="AD100" s="116"/>
      <c r="AE100" s="116"/>
      <c r="AF100" s="116"/>
      <c r="AG100" s="116"/>
      <c r="AH100" s="116"/>
      <c r="AI100" s="116"/>
    </row>
    <row r="101" spans="1:41" ht="15" customHeight="1">
      <c r="A101" s="83"/>
      <c r="N101" s="44"/>
      <c r="AA101" s="116"/>
      <c r="AB101" s="87"/>
      <c r="AC101" s="116"/>
      <c r="AD101" s="116"/>
      <c r="AE101" s="116"/>
      <c r="AF101" s="116"/>
      <c r="AG101" s="116"/>
      <c r="AH101" s="116"/>
      <c r="AI101" s="116"/>
    </row>
    <row r="102" spans="1:41" ht="15" customHeight="1">
      <c r="T102" s="111"/>
      <c r="U102" s="111"/>
      <c r="V102" s="131"/>
      <c r="W102" s="112"/>
      <c r="X102" s="112"/>
      <c r="Y102" s="113"/>
      <c r="AA102" s="118"/>
      <c r="AB102" s="87"/>
      <c r="AC102" s="116"/>
      <c r="AD102" s="116"/>
      <c r="AE102" s="116"/>
      <c r="AF102" s="116"/>
      <c r="AG102" s="116"/>
      <c r="AH102" s="116"/>
      <c r="AI102" s="116"/>
    </row>
    <row r="103" spans="1:41" ht="15" customHeight="1">
      <c r="T103" s="111"/>
      <c r="U103" s="111"/>
      <c r="V103" s="131"/>
      <c r="W103" s="112"/>
      <c r="X103" s="112"/>
      <c r="Y103" s="113"/>
      <c r="AA103" s="116"/>
      <c r="AB103" s="87"/>
      <c r="AC103" s="116"/>
      <c r="AD103" s="116"/>
      <c r="AE103" s="116"/>
      <c r="AF103" s="116"/>
      <c r="AG103" s="116"/>
      <c r="AH103" s="116"/>
      <c r="AI103" s="116"/>
    </row>
    <row r="104" spans="1:41" ht="15" customHeight="1">
      <c r="T104" s="111"/>
      <c r="U104" s="111"/>
      <c r="V104" s="131"/>
      <c r="W104" s="112"/>
      <c r="X104" s="112"/>
      <c r="Y104" s="113"/>
      <c r="AA104" s="116"/>
      <c r="AB104" s="87"/>
      <c r="AC104" s="116"/>
      <c r="AD104" s="116"/>
      <c r="AE104" s="116"/>
      <c r="AF104" s="116"/>
      <c r="AG104" s="116"/>
      <c r="AH104" s="116"/>
      <c r="AI104" s="116"/>
    </row>
    <row r="105" spans="1:41" ht="15" customHeight="1">
      <c r="A105" s="4"/>
      <c r="B105" s="4"/>
      <c r="C105" s="4"/>
      <c r="D105" s="4"/>
      <c r="E105" s="6"/>
      <c r="H105" s="114"/>
      <c r="I105" s="114"/>
      <c r="J105" s="114"/>
      <c r="K105" s="114"/>
      <c r="L105" s="114"/>
      <c r="M105" s="121"/>
      <c r="N105" s="122"/>
      <c r="O105" s="111"/>
      <c r="P105" s="111"/>
      <c r="Q105" s="111"/>
      <c r="R105" s="111"/>
      <c r="S105" s="111"/>
      <c r="T105" s="111"/>
      <c r="U105" s="111"/>
      <c r="V105" s="131"/>
      <c r="W105" s="112"/>
      <c r="X105" s="112"/>
      <c r="Y105" s="113"/>
      <c r="AA105" s="116"/>
      <c r="AB105" s="87"/>
      <c r="AC105" s="116"/>
      <c r="AD105" s="116"/>
      <c r="AE105" s="116"/>
      <c r="AF105" s="116"/>
      <c r="AG105" s="116"/>
      <c r="AH105" s="116"/>
      <c r="AI105" s="116"/>
    </row>
    <row r="106" spans="1:41" ht="15" customHeight="1">
      <c r="H106" s="111"/>
      <c r="I106" s="111"/>
      <c r="J106" s="111"/>
      <c r="K106" s="111"/>
      <c r="L106" s="111"/>
      <c r="M106" s="121"/>
      <c r="N106" s="122"/>
      <c r="O106" s="111"/>
      <c r="P106" s="111"/>
      <c r="Q106" s="111"/>
      <c r="R106" s="111"/>
      <c r="S106" s="111"/>
      <c r="T106" s="111"/>
      <c r="U106" s="114"/>
      <c r="V106" s="131"/>
      <c r="W106" s="112"/>
      <c r="X106" s="112"/>
      <c r="Y106" s="113"/>
      <c r="AA106" s="116"/>
      <c r="AB106" s="87"/>
      <c r="AC106" s="116"/>
      <c r="AD106" s="116"/>
      <c r="AE106" s="116"/>
      <c r="AF106" s="116"/>
      <c r="AG106" s="116"/>
      <c r="AH106" s="116"/>
      <c r="AI106" s="116"/>
    </row>
    <row r="107" spans="1:41" ht="15" customHeight="1">
      <c r="L107" s="4"/>
      <c r="T107" s="111"/>
      <c r="U107" s="114"/>
      <c r="V107" s="131"/>
      <c r="W107" s="112"/>
      <c r="X107" s="112"/>
      <c r="Y107" s="113"/>
      <c r="AA107" s="116"/>
      <c r="AB107" s="87"/>
      <c r="AC107" s="116"/>
      <c r="AD107" s="116"/>
      <c r="AE107" s="116"/>
      <c r="AF107" s="116"/>
      <c r="AG107" s="116"/>
      <c r="AH107" s="116"/>
      <c r="AI107" s="116"/>
    </row>
    <row r="108" spans="1:41" ht="18">
      <c r="T108" s="111"/>
      <c r="U108" s="114"/>
      <c r="V108" s="131"/>
      <c r="W108" s="112"/>
      <c r="X108" s="112"/>
      <c r="Y108" s="113"/>
      <c r="AA108" s="116"/>
      <c r="AB108" s="87"/>
      <c r="AC108" s="116"/>
      <c r="AD108" s="116"/>
      <c r="AE108" s="116"/>
      <c r="AF108" s="116"/>
      <c r="AG108" s="116"/>
      <c r="AH108" s="116"/>
      <c r="AI108" s="116"/>
    </row>
    <row r="109" spans="1:41" s="2" customFormat="1" ht="18">
      <c r="A109" s="4"/>
      <c r="B109" s="4"/>
      <c r="C109" s="4"/>
      <c r="D109" s="4"/>
      <c r="E109" s="6"/>
      <c r="F109" s="44"/>
      <c r="G109" s="44"/>
      <c r="H109" s="44"/>
      <c r="I109" s="44"/>
      <c r="J109" s="44"/>
      <c r="K109" s="44"/>
      <c r="L109" s="44"/>
      <c r="M109" s="120"/>
      <c r="N109" s="110"/>
      <c r="O109" s="44"/>
      <c r="P109" s="44"/>
      <c r="Q109" s="44"/>
      <c r="R109" s="44"/>
      <c r="S109" s="44"/>
      <c r="T109" s="111"/>
      <c r="U109" s="114"/>
      <c r="V109" s="131"/>
      <c r="W109" s="112"/>
      <c r="X109" s="112"/>
      <c r="Y109" s="115"/>
      <c r="Z109" s="29"/>
      <c r="AA109" s="116"/>
      <c r="AB109" s="87"/>
      <c r="AC109" s="116"/>
      <c r="AD109" s="116"/>
      <c r="AE109" s="116"/>
      <c r="AF109" s="116"/>
      <c r="AG109" s="116"/>
      <c r="AH109" s="116"/>
      <c r="AI109" s="116"/>
    </row>
    <row r="110" spans="1:41" ht="18">
      <c r="T110" s="111"/>
      <c r="U110" s="114"/>
      <c r="V110" s="131"/>
      <c r="W110" s="112"/>
      <c r="X110" s="112"/>
      <c r="Y110" s="113"/>
      <c r="AA110" s="116"/>
      <c r="AB110" s="87"/>
      <c r="AC110" s="116"/>
      <c r="AD110" s="116"/>
      <c r="AE110" s="116"/>
      <c r="AF110" s="116"/>
      <c r="AG110" s="116"/>
      <c r="AH110" s="116"/>
      <c r="AI110" s="116"/>
      <c r="AO110" s="30"/>
    </row>
    <row r="111" spans="1:41" s="2" customFormat="1" ht="18">
      <c r="A111" s="4"/>
      <c r="B111" s="4"/>
      <c r="C111" s="4"/>
      <c r="D111" s="4"/>
      <c r="E111" s="6"/>
      <c r="F111" s="44"/>
      <c r="G111" s="44"/>
      <c r="H111" s="44"/>
      <c r="I111" s="44"/>
      <c r="J111" s="44"/>
      <c r="K111" s="44"/>
      <c r="L111" s="44"/>
      <c r="M111" s="120"/>
      <c r="N111" s="110"/>
      <c r="O111" s="44"/>
      <c r="P111" s="44"/>
      <c r="Q111" s="44"/>
      <c r="R111" s="44"/>
      <c r="S111" s="44"/>
      <c r="T111" s="111"/>
      <c r="U111" s="114"/>
      <c r="V111" s="131"/>
      <c r="W111" s="112"/>
      <c r="X111" s="112"/>
      <c r="Y111" s="115"/>
      <c r="Z111" s="29"/>
      <c r="AA111" s="116"/>
      <c r="AB111" s="87"/>
      <c r="AC111" s="116"/>
      <c r="AD111" s="116"/>
      <c r="AE111" s="116"/>
      <c r="AF111" s="116"/>
      <c r="AG111" s="116"/>
      <c r="AH111" s="116"/>
      <c r="AI111" s="116"/>
      <c r="AO111" s="30">
        <f>SUM(AB111:AN111)</f>
        <v>0</v>
      </c>
    </row>
    <row r="112" spans="1:41" ht="18">
      <c r="T112" s="111"/>
      <c r="U112" s="114"/>
      <c r="V112" s="131"/>
      <c r="W112" s="112"/>
      <c r="X112" s="112"/>
      <c r="Y112" s="113"/>
      <c r="AA112" s="116"/>
      <c r="AB112" s="87"/>
      <c r="AC112" s="116"/>
      <c r="AD112" s="116"/>
      <c r="AE112" s="116"/>
      <c r="AF112" s="116"/>
      <c r="AG112" s="116"/>
      <c r="AH112" s="116"/>
      <c r="AI112" s="116"/>
      <c r="AO112" s="30"/>
    </row>
    <row r="113" spans="1:41" ht="18">
      <c r="T113" s="111"/>
      <c r="U113" s="114"/>
      <c r="V113" s="131"/>
      <c r="W113" s="112"/>
      <c r="X113" s="112"/>
      <c r="Y113" s="113"/>
      <c r="AA113" s="116"/>
      <c r="AB113" s="87"/>
      <c r="AC113" s="116"/>
      <c r="AD113" s="116"/>
      <c r="AE113" s="116"/>
      <c r="AF113" s="116"/>
      <c r="AG113" s="116"/>
      <c r="AH113" s="116"/>
      <c r="AI113" s="116"/>
      <c r="AO113" s="30">
        <f>SUM(AB113:AN113)</f>
        <v>0</v>
      </c>
    </row>
    <row r="114" spans="1:41" ht="18">
      <c r="T114" s="111"/>
      <c r="U114" s="114"/>
      <c r="V114" s="131"/>
      <c r="W114" s="112"/>
      <c r="X114" s="112"/>
      <c r="Y114" s="113"/>
      <c r="AA114" s="116"/>
      <c r="AB114" s="87"/>
      <c r="AC114" s="116"/>
      <c r="AD114" s="116"/>
      <c r="AE114" s="116"/>
      <c r="AF114" s="116"/>
      <c r="AG114" s="116"/>
      <c r="AH114" s="116"/>
      <c r="AI114" s="116"/>
      <c r="AO114" s="30"/>
    </row>
    <row r="115" spans="1:41" s="2" customFormat="1" ht="18">
      <c r="A115" s="4"/>
      <c r="B115" s="4"/>
      <c r="C115" s="4"/>
      <c r="D115" s="4"/>
      <c r="E115" s="6"/>
      <c r="F115" s="44"/>
      <c r="G115" s="44"/>
      <c r="H115" s="44"/>
      <c r="I115" s="44"/>
      <c r="J115" s="44"/>
      <c r="K115" s="44"/>
      <c r="L115" s="44"/>
      <c r="M115" s="120"/>
      <c r="N115" s="110"/>
      <c r="O115" s="44"/>
      <c r="P115" s="44"/>
      <c r="Q115" s="44"/>
      <c r="R115" s="44"/>
      <c r="S115" s="44"/>
      <c r="T115" s="44"/>
      <c r="U115" s="44"/>
      <c r="V115" s="130"/>
      <c r="W115" s="5"/>
      <c r="X115" s="6"/>
      <c r="Y115" s="29"/>
      <c r="Z115" s="29"/>
      <c r="AA115" s="116"/>
      <c r="AB115" s="87"/>
      <c r="AC115" s="116"/>
      <c r="AD115" s="116"/>
      <c r="AE115" s="116"/>
      <c r="AF115" s="116"/>
      <c r="AG115" s="116"/>
      <c r="AH115" s="116"/>
      <c r="AI115" s="116"/>
      <c r="AO115" s="30"/>
    </row>
    <row r="116" spans="1:41" ht="18">
      <c r="AA116" s="116"/>
      <c r="AB116" s="87"/>
      <c r="AC116" s="116"/>
      <c r="AD116" s="116"/>
      <c r="AE116" s="116"/>
      <c r="AF116" s="116"/>
      <c r="AG116" s="116"/>
      <c r="AH116" s="116"/>
      <c r="AI116" s="116"/>
    </row>
    <row r="117" spans="1:41" ht="18">
      <c r="AA117" s="116"/>
      <c r="AB117" s="87"/>
      <c r="AC117" s="116"/>
      <c r="AD117" s="116"/>
      <c r="AE117" s="116"/>
      <c r="AF117" s="116"/>
      <c r="AG117" s="116"/>
      <c r="AH117" s="116"/>
      <c r="AI117" s="116"/>
    </row>
    <row r="118" spans="1:41" s="2" customFormat="1" ht="18">
      <c r="A118" s="4"/>
      <c r="B118" s="4"/>
      <c r="C118" s="4"/>
      <c r="D118" s="4"/>
      <c r="E118" s="6"/>
      <c r="F118" s="44"/>
      <c r="G118" s="44"/>
      <c r="H118" s="44"/>
      <c r="I118" s="44"/>
      <c r="J118" s="44"/>
      <c r="K118" s="44"/>
      <c r="L118" s="44"/>
      <c r="M118" s="120"/>
      <c r="N118" s="110"/>
      <c r="O118" s="44"/>
      <c r="P118" s="44"/>
      <c r="Q118" s="44"/>
      <c r="R118" s="44"/>
      <c r="S118" s="44"/>
      <c r="T118" s="44"/>
      <c r="U118" s="44"/>
      <c r="V118" s="130"/>
      <c r="W118" s="5"/>
      <c r="X118" s="6"/>
      <c r="Y118" s="29"/>
      <c r="Z118" s="29"/>
      <c r="AA118" s="116"/>
      <c r="AB118" s="87"/>
      <c r="AC118" s="116"/>
      <c r="AD118" s="116"/>
      <c r="AE118" s="116"/>
      <c r="AF118" s="116"/>
      <c r="AG118" s="116"/>
      <c r="AH118" s="116"/>
      <c r="AI118" s="116"/>
    </row>
    <row r="119" spans="1:41" ht="18">
      <c r="AA119" s="116"/>
      <c r="AB119" s="87"/>
      <c r="AC119" s="116"/>
      <c r="AD119" s="116"/>
      <c r="AE119" s="116"/>
      <c r="AF119" s="116"/>
      <c r="AG119" s="116"/>
      <c r="AH119" s="116"/>
      <c r="AI119" s="116"/>
    </row>
    <row r="120" spans="1:41" ht="18">
      <c r="AA120" s="116"/>
      <c r="AB120" s="87"/>
      <c r="AC120" s="116"/>
      <c r="AD120" s="116"/>
      <c r="AE120" s="116"/>
      <c r="AF120" s="116"/>
      <c r="AG120" s="116"/>
      <c r="AH120" s="116"/>
      <c r="AI120" s="116"/>
    </row>
    <row r="121" spans="1:41" ht="18">
      <c r="AA121" s="116"/>
      <c r="AB121" s="87"/>
      <c r="AC121" s="116"/>
      <c r="AD121" s="116"/>
      <c r="AE121" s="116"/>
      <c r="AF121" s="116"/>
      <c r="AG121" s="116"/>
      <c r="AH121" s="116"/>
      <c r="AI121" s="116"/>
    </row>
    <row r="122" spans="1:41" s="2" customFormat="1" ht="18">
      <c r="A122" s="4"/>
      <c r="B122" s="4"/>
      <c r="C122" s="4"/>
      <c r="D122" s="4"/>
      <c r="E122" s="6"/>
      <c r="F122" s="44"/>
      <c r="G122" s="44"/>
      <c r="H122" s="44"/>
      <c r="I122" s="44"/>
      <c r="J122" s="44"/>
      <c r="K122" s="44"/>
      <c r="L122" s="44"/>
      <c r="M122" s="120"/>
      <c r="N122" s="110"/>
      <c r="O122" s="44"/>
      <c r="P122" s="44"/>
      <c r="Q122" s="44"/>
      <c r="R122" s="44"/>
      <c r="S122" s="44"/>
      <c r="T122" s="44"/>
      <c r="U122" s="44"/>
      <c r="V122" s="130"/>
      <c r="W122" s="5"/>
      <c r="X122" s="6"/>
      <c r="Y122" s="29"/>
      <c r="Z122" s="29"/>
      <c r="AA122" s="116"/>
      <c r="AB122" s="87"/>
      <c r="AC122" s="116"/>
      <c r="AD122" s="116"/>
      <c r="AE122" s="116"/>
      <c r="AF122" s="116"/>
      <c r="AG122" s="116"/>
      <c r="AH122" s="116"/>
      <c r="AI122" s="116"/>
    </row>
    <row r="123" spans="1:41" ht="18">
      <c r="AA123" s="116"/>
      <c r="AB123" s="87"/>
      <c r="AC123" s="116"/>
      <c r="AD123" s="116"/>
      <c r="AE123" s="116"/>
      <c r="AF123" s="116"/>
      <c r="AG123" s="116"/>
      <c r="AH123" s="116"/>
      <c r="AI123" s="116"/>
    </row>
    <row r="124" spans="1:41" ht="18">
      <c r="AA124" s="116"/>
      <c r="AB124" s="87"/>
      <c r="AC124" s="116"/>
      <c r="AD124" s="116"/>
      <c r="AE124" s="116"/>
      <c r="AF124" s="116"/>
      <c r="AG124" s="116"/>
      <c r="AH124" s="116"/>
      <c r="AI124" s="116"/>
    </row>
    <row r="125" spans="1:41" ht="18">
      <c r="AA125" s="116"/>
      <c r="AB125" s="87"/>
      <c r="AC125" s="116"/>
      <c r="AD125" s="116"/>
      <c r="AE125" s="116"/>
      <c r="AF125" s="116"/>
      <c r="AG125" s="116"/>
      <c r="AH125" s="116"/>
      <c r="AI125" s="116"/>
    </row>
    <row r="126" spans="1:41" ht="18">
      <c r="AA126" s="116"/>
      <c r="AB126" s="87"/>
      <c r="AC126" s="116"/>
      <c r="AD126" s="116"/>
      <c r="AE126" s="116"/>
      <c r="AF126" s="116"/>
      <c r="AG126" s="116"/>
      <c r="AH126" s="116"/>
      <c r="AI126" s="116"/>
    </row>
    <row r="127" spans="1:41" ht="18">
      <c r="AA127" s="116"/>
      <c r="AB127" s="87"/>
      <c r="AC127" s="116"/>
      <c r="AD127" s="116"/>
      <c r="AE127" s="116"/>
      <c r="AF127" s="116"/>
      <c r="AG127" s="116"/>
      <c r="AH127" s="116"/>
      <c r="AI127" s="116"/>
    </row>
    <row r="128" spans="1:41" ht="18">
      <c r="AA128" s="116"/>
      <c r="AB128" s="87"/>
      <c r="AC128" s="116"/>
      <c r="AD128" s="116"/>
      <c r="AE128" s="116"/>
      <c r="AF128" s="116"/>
      <c r="AG128" s="116"/>
      <c r="AH128" s="116"/>
      <c r="AI128" s="116"/>
    </row>
    <row r="129" spans="27:35" ht="18">
      <c r="AA129" s="116"/>
      <c r="AB129" s="87"/>
      <c r="AC129" s="116"/>
      <c r="AD129" s="116"/>
      <c r="AE129" s="116"/>
      <c r="AF129" s="116"/>
      <c r="AG129" s="116"/>
      <c r="AH129" s="116"/>
      <c r="AI129" s="116"/>
    </row>
    <row r="130" spans="27:35" ht="18">
      <c r="AA130" s="116"/>
      <c r="AB130" s="87"/>
      <c r="AC130" s="116"/>
      <c r="AD130" s="116"/>
      <c r="AE130" s="116"/>
      <c r="AF130" s="116"/>
      <c r="AG130" s="116"/>
      <c r="AH130" s="116"/>
      <c r="AI130" s="116"/>
    </row>
    <row r="131" spans="27:35" ht="18">
      <c r="AA131" s="116"/>
      <c r="AB131" s="87"/>
      <c r="AC131" s="116"/>
      <c r="AD131" s="116"/>
      <c r="AE131" s="116"/>
      <c r="AF131" s="116"/>
      <c r="AG131" s="116"/>
      <c r="AH131" s="116"/>
      <c r="AI131" s="116"/>
    </row>
    <row r="132" spans="27:35" ht="18">
      <c r="AA132" s="116"/>
      <c r="AB132" s="87"/>
      <c r="AC132" s="116"/>
      <c r="AD132" s="116"/>
      <c r="AE132" s="116"/>
      <c r="AF132" s="116"/>
      <c r="AG132" s="116"/>
      <c r="AH132" s="116"/>
      <c r="AI132" s="116"/>
    </row>
    <row r="133" spans="27:35" ht="18">
      <c r="AA133" s="116"/>
      <c r="AB133" s="87"/>
      <c r="AC133" s="116"/>
      <c r="AD133" s="116"/>
      <c r="AE133" s="116"/>
      <c r="AF133" s="116"/>
      <c r="AG133" s="116"/>
      <c r="AH133" s="116"/>
      <c r="AI133" s="116"/>
    </row>
    <row r="134" spans="27:35" ht="18">
      <c r="AA134" s="116"/>
      <c r="AB134" s="87"/>
      <c r="AC134" s="116"/>
      <c r="AD134" s="116"/>
      <c r="AE134" s="116"/>
      <c r="AF134" s="116"/>
      <c r="AG134" s="116"/>
      <c r="AH134" s="116"/>
      <c r="AI134" s="116"/>
    </row>
    <row r="135" spans="27:35" ht="18">
      <c r="AA135" s="116"/>
      <c r="AB135" s="87"/>
      <c r="AC135" s="116"/>
      <c r="AD135" s="116"/>
      <c r="AE135" s="116"/>
      <c r="AF135" s="116"/>
      <c r="AG135" s="116"/>
      <c r="AH135" s="116"/>
      <c r="AI135" s="116"/>
    </row>
    <row r="136" spans="27:35" ht="18">
      <c r="AA136" s="116"/>
      <c r="AB136" s="87"/>
      <c r="AC136" s="116"/>
      <c r="AD136" s="116"/>
      <c r="AE136" s="116"/>
      <c r="AF136" s="116"/>
      <c r="AG136" s="116"/>
      <c r="AH136" s="116"/>
      <c r="AI136" s="116"/>
    </row>
    <row r="137" spans="27:35" ht="18">
      <c r="AA137" s="116"/>
      <c r="AB137" s="87"/>
      <c r="AC137" s="116"/>
      <c r="AD137" s="116"/>
      <c r="AE137" s="116"/>
      <c r="AF137" s="116"/>
      <c r="AG137" s="116"/>
      <c r="AH137" s="116"/>
      <c r="AI137" s="116"/>
    </row>
    <row r="138" spans="27:35" ht="18">
      <c r="AA138" s="116"/>
      <c r="AB138" s="87"/>
      <c r="AC138" s="116"/>
      <c r="AD138" s="116"/>
      <c r="AE138" s="116"/>
      <c r="AF138" s="116"/>
      <c r="AG138" s="116"/>
      <c r="AH138" s="116"/>
      <c r="AI138" s="116"/>
    </row>
    <row r="139" spans="27:35" ht="18">
      <c r="AA139" s="116"/>
      <c r="AB139" s="87"/>
      <c r="AC139" s="116"/>
      <c r="AD139" s="116"/>
      <c r="AE139" s="116"/>
      <c r="AF139" s="116"/>
      <c r="AG139" s="116"/>
      <c r="AH139" s="116"/>
      <c r="AI139" s="116"/>
    </row>
    <row r="140" spans="27:35" ht="18">
      <c r="AA140" s="116"/>
      <c r="AB140" s="87"/>
      <c r="AC140" s="116"/>
      <c r="AD140" s="116"/>
      <c r="AE140" s="116"/>
      <c r="AF140" s="116"/>
      <c r="AG140" s="116"/>
      <c r="AH140" s="116"/>
      <c r="AI140" s="116"/>
    </row>
    <row r="141" spans="27:35" ht="18">
      <c r="AA141" s="116"/>
      <c r="AB141" s="87"/>
      <c r="AC141" s="116"/>
      <c r="AD141" s="116"/>
      <c r="AE141" s="116"/>
      <c r="AF141" s="116"/>
      <c r="AG141" s="116"/>
      <c r="AH141" s="116"/>
      <c r="AI141" s="116"/>
    </row>
    <row r="142" spans="27:35" ht="18">
      <c r="AA142" s="116"/>
      <c r="AB142" s="87"/>
      <c r="AC142" s="116"/>
      <c r="AD142" s="116"/>
      <c r="AE142" s="116"/>
      <c r="AF142" s="116"/>
      <c r="AG142" s="116"/>
      <c r="AH142" s="116"/>
      <c r="AI142" s="116"/>
    </row>
    <row r="143" spans="27:35" ht="18">
      <c r="AA143" s="116"/>
      <c r="AB143" s="87"/>
      <c r="AC143" s="116"/>
      <c r="AD143" s="116"/>
      <c r="AE143" s="116"/>
      <c r="AF143" s="116"/>
      <c r="AG143" s="116"/>
      <c r="AH143" s="116"/>
      <c r="AI143" s="116"/>
    </row>
    <row r="144" spans="27:35" ht="18">
      <c r="AA144" s="116"/>
      <c r="AB144" s="87"/>
      <c r="AC144" s="116"/>
      <c r="AD144" s="116"/>
      <c r="AE144" s="116"/>
      <c r="AF144" s="116"/>
      <c r="AG144" s="116"/>
      <c r="AH144" s="116"/>
      <c r="AI144" s="116"/>
    </row>
    <row r="145" spans="27:35" ht="18">
      <c r="AA145" s="116"/>
      <c r="AB145" s="87"/>
      <c r="AC145" s="116"/>
      <c r="AD145" s="116"/>
      <c r="AE145" s="116"/>
      <c r="AF145" s="116"/>
      <c r="AG145" s="116"/>
      <c r="AH145" s="116"/>
      <c r="AI145" s="116"/>
    </row>
    <row r="146" spans="27:35" ht="18">
      <c r="AA146" s="116"/>
      <c r="AB146" s="87"/>
      <c r="AC146" s="116"/>
      <c r="AD146" s="116"/>
      <c r="AE146" s="116"/>
      <c r="AF146" s="116"/>
      <c r="AG146" s="116"/>
      <c r="AH146" s="116"/>
      <c r="AI146" s="116"/>
    </row>
    <row r="147" spans="27:35" ht="18">
      <c r="AA147" s="116"/>
      <c r="AB147" s="87"/>
      <c r="AC147" s="116"/>
      <c r="AD147" s="116"/>
      <c r="AE147" s="116"/>
      <c r="AF147" s="116"/>
      <c r="AG147" s="116"/>
      <c r="AH147" s="116"/>
      <c r="AI147" s="116"/>
    </row>
    <row r="148" spans="27:35" ht="18">
      <c r="AA148" s="116"/>
      <c r="AB148" s="87"/>
      <c r="AC148" s="116"/>
      <c r="AD148" s="116"/>
      <c r="AE148" s="116"/>
      <c r="AF148" s="116"/>
      <c r="AG148" s="116"/>
      <c r="AH148" s="116"/>
      <c r="AI148" s="116"/>
    </row>
    <row r="149" spans="27:35" ht="18">
      <c r="AA149" s="116"/>
      <c r="AB149" s="87"/>
      <c r="AC149" s="116"/>
      <c r="AD149" s="116"/>
      <c r="AE149" s="116"/>
      <c r="AF149" s="116"/>
      <c r="AG149" s="116"/>
      <c r="AH149" s="116"/>
      <c r="AI149" s="116"/>
    </row>
    <row r="150" spans="27:35" ht="18">
      <c r="AA150" s="116"/>
      <c r="AB150" s="87"/>
      <c r="AC150" s="116"/>
      <c r="AD150" s="116"/>
      <c r="AE150" s="116"/>
      <c r="AF150" s="116"/>
      <c r="AG150" s="116"/>
      <c r="AH150" s="116"/>
      <c r="AI150" s="116"/>
    </row>
    <row r="151" spans="27:35" ht="18">
      <c r="AA151" s="116"/>
      <c r="AB151" s="87"/>
      <c r="AC151" s="116"/>
      <c r="AD151" s="116"/>
      <c r="AE151" s="116"/>
      <c r="AF151" s="116"/>
      <c r="AG151" s="116"/>
      <c r="AH151" s="116"/>
      <c r="AI151" s="116"/>
    </row>
    <row r="152" spans="27:35" ht="18">
      <c r="AA152" s="116"/>
      <c r="AB152" s="87"/>
      <c r="AC152" s="116"/>
      <c r="AD152" s="116"/>
      <c r="AE152" s="116"/>
      <c r="AF152" s="116"/>
      <c r="AG152" s="116"/>
      <c r="AH152" s="116"/>
      <c r="AI152" s="116"/>
    </row>
    <row r="153" spans="27:35" ht="18">
      <c r="AA153" s="116"/>
      <c r="AB153" s="87"/>
      <c r="AC153" s="116"/>
      <c r="AD153" s="116"/>
      <c r="AE153" s="116"/>
      <c r="AF153" s="116"/>
      <c r="AG153" s="116"/>
      <c r="AH153" s="116"/>
      <c r="AI153" s="116"/>
    </row>
    <row r="154" spans="27:35" ht="18">
      <c r="AA154" s="116"/>
      <c r="AB154" s="87"/>
      <c r="AC154" s="116"/>
      <c r="AD154" s="116"/>
      <c r="AE154" s="116"/>
      <c r="AF154" s="116"/>
      <c r="AG154" s="116"/>
      <c r="AH154" s="116"/>
      <c r="AI154" s="116"/>
    </row>
    <row r="155" spans="27:35" ht="18">
      <c r="AA155" s="116"/>
      <c r="AB155" s="87"/>
      <c r="AC155" s="116"/>
      <c r="AD155" s="116"/>
      <c r="AE155" s="116"/>
      <c r="AF155" s="116"/>
      <c r="AG155" s="116"/>
      <c r="AH155" s="116"/>
      <c r="AI155" s="116"/>
    </row>
    <row r="156" spans="27:35" ht="18">
      <c r="AA156" s="116"/>
      <c r="AB156" s="87"/>
      <c r="AC156" s="116"/>
      <c r="AD156" s="116"/>
      <c r="AE156" s="116"/>
      <c r="AF156" s="116"/>
      <c r="AG156" s="116"/>
      <c r="AH156" s="116"/>
      <c r="AI156" s="116"/>
    </row>
    <row r="157" spans="27:35" ht="18">
      <c r="AA157" s="116"/>
      <c r="AB157" s="87"/>
      <c r="AC157" s="116"/>
      <c r="AD157" s="116"/>
      <c r="AE157" s="116"/>
      <c r="AF157" s="116"/>
      <c r="AG157" s="116"/>
      <c r="AH157" s="116"/>
      <c r="AI157" s="116"/>
    </row>
    <row r="158" spans="27:35" ht="18">
      <c r="AA158" s="116"/>
      <c r="AB158" s="87"/>
      <c r="AC158" s="116"/>
      <c r="AD158" s="116"/>
      <c r="AE158" s="116"/>
      <c r="AF158" s="116"/>
      <c r="AG158" s="116"/>
      <c r="AH158" s="116"/>
      <c r="AI158" s="116"/>
    </row>
    <row r="159" spans="27:35" ht="18">
      <c r="AA159" s="116"/>
      <c r="AB159" s="87"/>
      <c r="AC159" s="116"/>
      <c r="AD159" s="116"/>
      <c r="AE159" s="116"/>
      <c r="AF159" s="116"/>
      <c r="AG159" s="116"/>
      <c r="AH159" s="116"/>
      <c r="AI159" s="116"/>
    </row>
    <row r="160" spans="27:35" ht="18">
      <c r="AA160" s="116"/>
      <c r="AB160" s="87"/>
      <c r="AC160" s="116"/>
      <c r="AD160" s="116"/>
      <c r="AE160" s="116"/>
      <c r="AF160" s="116"/>
      <c r="AG160" s="116"/>
      <c r="AH160" s="116"/>
      <c r="AI160" s="116"/>
    </row>
    <row r="161" spans="27:35" ht="18">
      <c r="AA161" s="116"/>
      <c r="AB161" s="87"/>
      <c r="AC161" s="116"/>
      <c r="AD161" s="116"/>
      <c r="AE161" s="116"/>
      <c r="AF161" s="116"/>
      <c r="AG161" s="116"/>
      <c r="AH161" s="116"/>
      <c r="AI161" s="116"/>
    </row>
    <row r="162" spans="27:35" ht="18">
      <c r="AA162" s="116"/>
      <c r="AB162" s="87"/>
      <c r="AC162" s="116"/>
      <c r="AD162" s="116"/>
      <c r="AE162" s="116"/>
      <c r="AF162" s="116"/>
      <c r="AG162" s="116"/>
      <c r="AH162" s="116"/>
      <c r="AI162" s="116"/>
    </row>
    <row r="163" spans="27:35" ht="18">
      <c r="AA163" s="116"/>
      <c r="AB163" s="87"/>
      <c r="AC163" s="116"/>
      <c r="AD163" s="116"/>
      <c r="AE163" s="116"/>
      <c r="AF163" s="116"/>
      <c r="AG163" s="116"/>
      <c r="AH163" s="116"/>
      <c r="AI163" s="116"/>
    </row>
    <row r="164" spans="27:35" ht="18">
      <c r="AA164" s="116"/>
      <c r="AB164" s="87"/>
      <c r="AC164" s="116"/>
      <c r="AD164" s="116"/>
      <c r="AE164" s="116"/>
      <c r="AF164" s="116"/>
      <c r="AG164" s="116"/>
      <c r="AH164" s="116"/>
      <c r="AI164" s="116"/>
    </row>
    <row r="165" spans="27:35" ht="18">
      <c r="AA165" s="116"/>
      <c r="AB165" s="87"/>
      <c r="AC165" s="116"/>
      <c r="AD165" s="116"/>
      <c r="AE165" s="116"/>
      <c r="AF165" s="116"/>
      <c r="AG165" s="116"/>
      <c r="AH165" s="116"/>
      <c r="AI165" s="116"/>
    </row>
    <row r="166" spans="27:35" ht="18">
      <c r="AA166" s="116"/>
      <c r="AB166" s="87"/>
      <c r="AC166" s="116"/>
      <c r="AD166" s="116"/>
      <c r="AE166" s="116"/>
      <c r="AF166" s="116"/>
      <c r="AG166" s="116"/>
      <c r="AH166" s="116"/>
      <c r="AI166" s="116"/>
    </row>
    <row r="167" spans="27:35" ht="18">
      <c r="AA167" s="116"/>
      <c r="AB167" s="87"/>
      <c r="AC167" s="116"/>
      <c r="AD167" s="116"/>
      <c r="AE167" s="116"/>
      <c r="AF167" s="116"/>
      <c r="AG167" s="116"/>
      <c r="AH167" s="116"/>
      <c r="AI167" s="116"/>
    </row>
    <row r="168" spans="27:35" ht="18">
      <c r="AA168" s="116"/>
      <c r="AB168" s="87"/>
      <c r="AC168" s="116"/>
      <c r="AD168" s="116"/>
      <c r="AE168" s="116"/>
      <c r="AF168" s="116"/>
      <c r="AG168" s="116"/>
      <c r="AH168" s="116"/>
      <c r="AI168" s="116"/>
    </row>
    <row r="169" spans="27:35" ht="18">
      <c r="AA169" s="116"/>
      <c r="AB169" s="87"/>
      <c r="AC169" s="116"/>
      <c r="AD169" s="116"/>
      <c r="AE169" s="116"/>
      <c r="AF169" s="116"/>
      <c r="AG169" s="116"/>
      <c r="AH169" s="116"/>
      <c r="AI169" s="116"/>
    </row>
    <row r="170" spans="27:35" ht="18">
      <c r="AA170" s="116"/>
      <c r="AB170" s="87"/>
      <c r="AC170" s="116"/>
      <c r="AD170" s="116"/>
      <c r="AE170" s="116"/>
      <c r="AF170" s="116"/>
      <c r="AG170" s="116"/>
      <c r="AH170" s="116"/>
      <c r="AI170" s="116"/>
    </row>
    <row r="171" spans="27:35" ht="18">
      <c r="AA171" s="116"/>
      <c r="AB171" s="87"/>
      <c r="AC171" s="116"/>
      <c r="AD171" s="116"/>
      <c r="AE171" s="116"/>
      <c r="AF171" s="116"/>
      <c r="AG171" s="116"/>
      <c r="AH171" s="116"/>
      <c r="AI171" s="116"/>
    </row>
    <row r="172" spans="27:35" ht="18">
      <c r="AA172" s="116"/>
      <c r="AB172" s="87"/>
      <c r="AC172" s="116"/>
      <c r="AD172" s="116"/>
      <c r="AE172" s="116"/>
      <c r="AF172" s="116"/>
      <c r="AG172" s="116"/>
      <c r="AH172" s="116"/>
      <c r="AI172" s="116"/>
    </row>
    <row r="173" spans="27:35" ht="18">
      <c r="AA173" s="116"/>
      <c r="AB173" s="87"/>
      <c r="AC173" s="116"/>
      <c r="AD173" s="116"/>
      <c r="AE173" s="116"/>
      <c r="AF173" s="116"/>
      <c r="AG173" s="116"/>
      <c r="AH173" s="116"/>
      <c r="AI173" s="116"/>
    </row>
    <row r="174" spans="27:35" ht="18">
      <c r="AA174" s="116"/>
      <c r="AB174" s="87"/>
      <c r="AC174" s="116"/>
      <c r="AD174" s="116"/>
      <c r="AE174" s="116"/>
      <c r="AF174" s="116"/>
      <c r="AG174" s="116"/>
      <c r="AH174" s="116"/>
      <c r="AI174" s="116"/>
    </row>
    <row r="175" spans="27:35" ht="18">
      <c r="AA175" s="116"/>
      <c r="AB175" s="87"/>
      <c r="AC175" s="116"/>
      <c r="AD175" s="116"/>
      <c r="AE175" s="116"/>
      <c r="AF175" s="116"/>
      <c r="AG175" s="116"/>
      <c r="AH175" s="116"/>
      <c r="AI175" s="116"/>
    </row>
    <row r="176" spans="27:35" ht="18">
      <c r="AA176" s="116"/>
      <c r="AB176" s="87"/>
      <c r="AC176" s="116"/>
      <c r="AD176" s="116"/>
      <c r="AE176" s="116"/>
      <c r="AF176" s="116"/>
      <c r="AG176" s="116"/>
      <c r="AH176" s="116"/>
      <c r="AI176" s="116"/>
    </row>
    <row r="177" spans="27:35" ht="18">
      <c r="AA177" s="116"/>
      <c r="AB177" s="87"/>
      <c r="AC177" s="116"/>
      <c r="AD177" s="116"/>
      <c r="AE177" s="116"/>
      <c r="AF177" s="116"/>
      <c r="AG177" s="116"/>
      <c r="AH177" s="116"/>
      <c r="AI177" s="116"/>
    </row>
    <row r="178" spans="27:35" ht="18">
      <c r="AA178" s="116"/>
      <c r="AB178" s="87"/>
      <c r="AC178" s="116"/>
      <c r="AD178" s="116"/>
      <c r="AE178" s="116"/>
      <c r="AF178" s="116"/>
      <c r="AG178" s="116"/>
      <c r="AH178" s="116"/>
      <c r="AI178" s="116"/>
    </row>
    <row r="179" spans="27:35" ht="18">
      <c r="AA179" s="116"/>
      <c r="AB179" s="87"/>
      <c r="AC179" s="116"/>
      <c r="AD179" s="116"/>
      <c r="AE179" s="116"/>
      <c r="AF179" s="116"/>
      <c r="AG179" s="116"/>
      <c r="AH179" s="116"/>
      <c r="AI179" s="116"/>
    </row>
    <row r="180" spans="27:35" ht="18">
      <c r="AA180" s="116"/>
      <c r="AB180" s="87"/>
      <c r="AC180" s="116"/>
      <c r="AD180" s="116"/>
      <c r="AE180" s="116"/>
      <c r="AF180" s="116"/>
      <c r="AG180" s="116"/>
      <c r="AH180" s="116"/>
      <c r="AI180" s="116"/>
    </row>
    <row r="181" spans="27:35" ht="18">
      <c r="AA181" s="116"/>
      <c r="AB181" s="87"/>
      <c r="AC181" s="116"/>
      <c r="AD181" s="116"/>
      <c r="AE181" s="116"/>
      <c r="AF181" s="116"/>
      <c r="AG181" s="116"/>
      <c r="AH181" s="116"/>
      <c r="AI181" s="116"/>
    </row>
    <row r="182" spans="27:35" ht="18">
      <c r="AA182" s="116"/>
      <c r="AB182" s="87"/>
      <c r="AC182" s="116"/>
      <c r="AD182" s="116"/>
      <c r="AE182" s="116"/>
      <c r="AF182" s="116"/>
      <c r="AG182" s="116"/>
      <c r="AH182" s="116"/>
      <c r="AI182" s="116"/>
    </row>
    <row r="183" spans="27:35" ht="18">
      <c r="AA183" s="116"/>
      <c r="AB183" s="87"/>
      <c r="AC183" s="116"/>
      <c r="AD183" s="116"/>
      <c r="AE183" s="116"/>
      <c r="AF183" s="116"/>
      <c r="AG183" s="116"/>
      <c r="AH183" s="116"/>
      <c r="AI183" s="116"/>
    </row>
    <row r="184" spans="27:35" ht="18">
      <c r="AA184" s="116"/>
      <c r="AB184" s="87"/>
      <c r="AC184" s="116"/>
      <c r="AD184" s="116"/>
      <c r="AE184" s="116"/>
      <c r="AF184" s="116"/>
      <c r="AG184" s="116"/>
      <c r="AH184" s="116"/>
      <c r="AI184" s="116"/>
    </row>
    <row r="185" spans="27:35" ht="18">
      <c r="AA185" s="116"/>
      <c r="AB185" s="87"/>
      <c r="AC185" s="116"/>
      <c r="AD185" s="116"/>
      <c r="AE185" s="116"/>
      <c r="AF185" s="116"/>
      <c r="AG185" s="116"/>
      <c r="AH185" s="116"/>
      <c r="AI185" s="116"/>
    </row>
    <row r="186" spans="27:35" ht="18">
      <c r="AA186" s="116"/>
      <c r="AB186" s="87"/>
      <c r="AC186" s="116"/>
      <c r="AD186" s="116"/>
      <c r="AE186" s="116"/>
      <c r="AF186" s="116"/>
      <c r="AG186" s="116"/>
      <c r="AH186" s="116"/>
      <c r="AI186" s="116"/>
    </row>
    <row r="187" spans="27:35" ht="18">
      <c r="AA187" s="116"/>
      <c r="AB187" s="87"/>
      <c r="AC187" s="116"/>
      <c r="AD187" s="116"/>
      <c r="AE187" s="116"/>
      <c r="AF187" s="116"/>
      <c r="AG187" s="116"/>
      <c r="AH187" s="116"/>
      <c r="AI187" s="116"/>
    </row>
    <row r="188" spans="27:35" ht="18">
      <c r="AA188" s="116"/>
      <c r="AB188" s="87"/>
      <c r="AC188" s="116"/>
      <c r="AD188" s="116"/>
      <c r="AE188" s="116"/>
      <c r="AF188" s="116"/>
      <c r="AG188" s="116"/>
      <c r="AH188" s="116"/>
      <c r="AI188" s="116"/>
    </row>
    <row r="189" spans="27:35" ht="18">
      <c r="AA189" s="116"/>
      <c r="AB189" s="87"/>
      <c r="AC189" s="116"/>
      <c r="AD189" s="116"/>
      <c r="AE189" s="116"/>
      <c r="AF189" s="116"/>
      <c r="AG189" s="116"/>
      <c r="AH189" s="116"/>
      <c r="AI189" s="116"/>
    </row>
    <row r="190" spans="27:35" ht="18">
      <c r="AA190" s="116"/>
      <c r="AB190" s="87"/>
      <c r="AC190" s="116"/>
      <c r="AD190" s="116"/>
      <c r="AE190" s="116"/>
      <c r="AF190" s="116"/>
      <c r="AG190" s="116"/>
      <c r="AH190" s="116"/>
      <c r="AI190" s="116"/>
    </row>
    <row r="191" spans="27:35" ht="18">
      <c r="AA191" s="116"/>
      <c r="AB191" s="87"/>
      <c r="AC191" s="116"/>
      <c r="AD191" s="116"/>
      <c r="AE191" s="116"/>
      <c r="AF191" s="116"/>
      <c r="AG191" s="116"/>
      <c r="AH191" s="116"/>
      <c r="AI191" s="116"/>
    </row>
    <row r="192" spans="27:35" ht="18">
      <c r="AA192" s="116"/>
      <c r="AB192" s="87"/>
      <c r="AC192" s="116"/>
      <c r="AD192" s="116"/>
      <c r="AE192" s="116"/>
      <c r="AF192" s="116"/>
      <c r="AG192" s="116"/>
      <c r="AH192" s="116"/>
      <c r="AI192" s="116"/>
    </row>
    <row r="193" spans="27:35" ht="18">
      <c r="AA193" s="116"/>
      <c r="AB193" s="184"/>
      <c r="AC193" s="116"/>
      <c r="AD193" s="116"/>
      <c r="AE193" s="116"/>
      <c r="AF193" s="116"/>
      <c r="AG193" s="116"/>
      <c r="AH193" s="116"/>
      <c r="AI193" s="116"/>
    </row>
    <row r="194" spans="27:35" ht="18">
      <c r="AA194" s="116"/>
      <c r="AB194" s="184"/>
      <c r="AC194" s="116"/>
      <c r="AD194" s="116"/>
      <c r="AE194" s="116"/>
      <c r="AF194" s="116"/>
      <c r="AG194" s="116"/>
      <c r="AH194" s="116"/>
      <c r="AI194" s="116"/>
    </row>
    <row r="195" spans="27:35" ht="18">
      <c r="AA195" s="116"/>
      <c r="AB195" s="87"/>
      <c r="AC195" s="116"/>
      <c r="AD195" s="116"/>
      <c r="AE195" s="116"/>
      <c r="AF195" s="116"/>
      <c r="AG195" s="116"/>
      <c r="AH195" s="116"/>
      <c r="AI195" s="116"/>
    </row>
    <row r="196" spans="27:35" ht="18">
      <c r="AA196" s="116"/>
      <c r="AB196" s="87"/>
      <c r="AC196" s="116"/>
      <c r="AD196" s="116"/>
      <c r="AE196" s="116"/>
      <c r="AF196" s="116"/>
      <c r="AG196" s="116"/>
      <c r="AH196" s="116"/>
      <c r="AI196" s="116"/>
    </row>
    <row r="197" spans="27:35" ht="18">
      <c r="AA197" s="116"/>
      <c r="AB197" s="87"/>
      <c r="AC197" s="116"/>
      <c r="AD197" s="116"/>
      <c r="AE197" s="116"/>
      <c r="AF197" s="116"/>
      <c r="AG197" s="116"/>
      <c r="AH197" s="116"/>
      <c r="AI197" s="116"/>
    </row>
    <row r="198" spans="27:35" ht="18">
      <c r="AA198" s="116"/>
      <c r="AB198" s="87"/>
      <c r="AC198" s="116"/>
      <c r="AD198" s="116"/>
      <c r="AE198" s="116"/>
      <c r="AF198" s="116"/>
      <c r="AG198" s="116"/>
      <c r="AH198" s="116"/>
      <c r="AI198" s="116"/>
    </row>
    <row r="199" spans="27:35" ht="18">
      <c r="AA199" s="116"/>
      <c r="AB199" s="87"/>
      <c r="AC199" s="116"/>
      <c r="AD199" s="116"/>
      <c r="AE199" s="116"/>
      <c r="AF199" s="116"/>
      <c r="AG199" s="116"/>
      <c r="AH199" s="116"/>
      <c r="AI199" s="116"/>
    </row>
    <row r="200" spans="27:35" ht="18">
      <c r="AA200" s="116"/>
      <c r="AB200" s="87"/>
      <c r="AC200" s="116"/>
      <c r="AD200" s="116"/>
      <c r="AE200" s="116"/>
      <c r="AF200" s="116"/>
      <c r="AG200" s="116"/>
      <c r="AH200" s="116"/>
      <c r="AI200" s="116"/>
    </row>
    <row r="201" spans="27:35" ht="18">
      <c r="AA201" s="116"/>
      <c r="AB201" s="87"/>
      <c r="AC201" s="116"/>
      <c r="AD201" s="116"/>
      <c r="AE201" s="116"/>
      <c r="AF201" s="116"/>
      <c r="AG201" s="116"/>
      <c r="AH201" s="116"/>
      <c r="AI201" s="116"/>
    </row>
    <row r="202" spans="27:35" ht="18">
      <c r="AA202" s="116"/>
      <c r="AB202" s="87"/>
      <c r="AC202" s="116"/>
      <c r="AD202" s="116"/>
      <c r="AE202" s="116"/>
      <c r="AF202" s="116"/>
      <c r="AG202" s="116"/>
      <c r="AH202" s="116"/>
      <c r="AI202" s="116"/>
    </row>
    <row r="203" spans="27:35" ht="18">
      <c r="AA203" s="116"/>
      <c r="AB203" s="87"/>
      <c r="AC203" s="116"/>
      <c r="AD203" s="116"/>
      <c r="AE203" s="116"/>
      <c r="AF203" s="116"/>
      <c r="AG203" s="116"/>
      <c r="AH203" s="116"/>
      <c r="AI203" s="116"/>
    </row>
    <row r="204" spans="27:35" ht="18">
      <c r="AA204" s="116"/>
      <c r="AB204" s="87"/>
      <c r="AC204" s="116"/>
      <c r="AD204" s="116"/>
      <c r="AE204" s="116"/>
      <c r="AF204" s="116"/>
      <c r="AG204" s="116"/>
      <c r="AH204" s="116"/>
      <c r="AI204" s="116"/>
    </row>
    <row r="205" spans="27:35" ht="18">
      <c r="AA205" s="116"/>
      <c r="AB205" s="87"/>
      <c r="AC205" s="116"/>
      <c r="AD205" s="116"/>
      <c r="AE205" s="116"/>
      <c r="AF205" s="116"/>
      <c r="AG205" s="116"/>
      <c r="AH205" s="116"/>
      <c r="AI205" s="116"/>
    </row>
    <row r="206" spans="27:35" ht="18">
      <c r="AA206" s="116"/>
      <c r="AB206" s="87"/>
      <c r="AC206" s="116"/>
      <c r="AD206" s="116"/>
      <c r="AE206" s="116"/>
      <c r="AF206" s="116"/>
      <c r="AG206" s="116"/>
      <c r="AH206" s="116"/>
      <c r="AI206" s="116"/>
    </row>
    <row r="207" spans="27:35" ht="18">
      <c r="AA207" s="116"/>
      <c r="AB207" s="87"/>
      <c r="AC207" s="116"/>
      <c r="AD207" s="116"/>
      <c r="AE207" s="116"/>
      <c r="AF207" s="116"/>
      <c r="AG207" s="116"/>
      <c r="AH207" s="116"/>
      <c r="AI207" s="116"/>
    </row>
    <row r="208" spans="27:35" ht="18">
      <c r="AA208" s="116"/>
      <c r="AB208" s="87"/>
      <c r="AC208" s="116"/>
      <c r="AD208" s="116"/>
      <c r="AE208" s="116"/>
      <c r="AF208" s="116"/>
      <c r="AG208" s="116"/>
      <c r="AH208" s="116"/>
      <c r="AI208" s="116"/>
    </row>
    <row r="209" spans="27:35" ht="18">
      <c r="AA209" s="116"/>
      <c r="AB209" s="87"/>
      <c r="AC209" s="116"/>
      <c r="AD209" s="116"/>
      <c r="AE209" s="116"/>
      <c r="AF209" s="116"/>
      <c r="AG209" s="116"/>
      <c r="AH209" s="116"/>
      <c r="AI209" s="116"/>
    </row>
    <row r="210" spans="27:35" ht="18">
      <c r="AA210" s="116"/>
      <c r="AB210" s="87"/>
      <c r="AC210" s="116"/>
      <c r="AD210" s="116"/>
      <c r="AE210" s="116"/>
      <c r="AF210" s="116"/>
      <c r="AG210" s="116"/>
      <c r="AH210" s="116"/>
      <c r="AI210" s="116"/>
    </row>
    <row r="211" spans="27:35" ht="18">
      <c r="AA211" s="116"/>
      <c r="AB211" s="87"/>
      <c r="AC211" s="116"/>
      <c r="AD211" s="116"/>
      <c r="AE211" s="116"/>
      <c r="AF211" s="116"/>
      <c r="AG211" s="116"/>
      <c r="AH211" s="116"/>
      <c r="AI211" s="116"/>
    </row>
    <row r="212" spans="27:35" ht="18">
      <c r="AA212" s="116"/>
      <c r="AB212" s="87"/>
      <c r="AC212" s="116"/>
      <c r="AD212" s="116"/>
      <c r="AE212" s="116"/>
      <c r="AF212" s="116"/>
      <c r="AG212" s="116"/>
      <c r="AH212" s="116"/>
      <c r="AI212" s="116"/>
    </row>
    <row r="213" spans="27:35" ht="18">
      <c r="AA213" s="116"/>
      <c r="AB213" s="87"/>
      <c r="AC213" s="116"/>
      <c r="AD213" s="116"/>
      <c r="AE213" s="116"/>
      <c r="AF213" s="116"/>
      <c r="AG213" s="116"/>
      <c r="AH213" s="116"/>
      <c r="AI213" s="116"/>
    </row>
    <row r="214" spans="27:35" ht="18">
      <c r="AA214" s="116"/>
      <c r="AB214" s="87"/>
      <c r="AC214" s="116"/>
      <c r="AD214" s="116"/>
      <c r="AE214" s="116"/>
      <c r="AF214" s="116"/>
      <c r="AG214" s="116"/>
      <c r="AH214" s="116"/>
      <c r="AI214" s="116"/>
    </row>
    <row r="215" spans="27:35" ht="18">
      <c r="AA215" s="116"/>
      <c r="AB215" s="87"/>
      <c r="AC215" s="116"/>
      <c r="AD215" s="116"/>
      <c r="AE215" s="116"/>
      <c r="AF215" s="116"/>
      <c r="AG215" s="116"/>
      <c r="AH215" s="116"/>
      <c r="AI215" s="116"/>
    </row>
    <row r="216" spans="27:35" ht="18">
      <c r="AA216" s="116"/>
      <c r="AB216" s="87"/>
      <c r="AC216" s="116"/>
      <c r="AD216" s="116"/>
      <c r="AE216" s="116"/>
      <c r="AF216" s="116"/>
      <c r="AG216" s="116"/>
      <c r="AH216" s="116"/>
      <c r="AI216" s="116"/>
    </row>
    <row r="217" spans="27:35" ht="18">
      <c r="AA217" s="116"/>
      <c r="AB217" s="87"/>
      <c r="AC217" s="116"/>
      <c r="AD217" s="116"/>
      <c r="AE217" s="116"/>
      <c r="AF217" s="116"/>
      <c r="AG217" s="116"/>
      <c r="AH217" s="116"/>
      <c r="AI217" s="116"/>
    </row>
    <row r="218" spans="27:35" ht="18">
      <c r="AA218" s="116"/>
      <c r="AB218" s="87"/>
      <c r="AC218" s="116"/>
      <c r="AD218" s="116"/>
      <c r="AE218" s="116"/>
      <c r="AF218" s="116"/>
      <c r="AG218" s="116"/>
      <c r="AH218" s="116"/>
      <c r="AI218" s="116"/>
    </row>
    <row r="219" spans="27:35" ht="18">
      <c r="AA219" s="116"/>
      <c r="AB219" s="87"/>
      <c r="AC219" s="116"/>
      <c r="AD219" s="116"/>
      <c r="AE219" s="116"/>
      <c r="AF219" s="116"/>
      <c r="AG219" s="116"/>
      <c r="AH219" s="116"/>
      <c r="AI219" s="116"/>
    </row>
    <row r="220" spans="27:35" ht="18">
      <c r="AA220" s="116"/>
      <c r="AB220" s="87"/>
      <c r="AC220" s="116"/>
      <c r="AD220" s="116"/>
      <c r="AE220" s="116"/>
      <c r="AF220" s="116"/>
      <c r="AG220" s="116"/>
      <c r="AH220" s="116"/>
      <c r="AI220" s="116"/>
    </row>
    <row r="221" spans="27:35" ht="18">
      <c r="AA221" s="116"/>
      <c r="AB221" s="87"/>
      <c r="AC221" s="116"/>
      <c r="AD221" s="116"/>
      <c r="AE221" s="116"/>
      <c r="AF221" s="116"/>
      <c r="AG221" s="116"/>
      <c r="AH221" s="116"/>
      <c r="AI221" s="116"/>
    </row>
    <row r="222" spans="27:35" ht="18">
      <c r="AA222" s="116"/>
      <c r="AB222" s="87"/>
      <c r="AC222" s="116"/>
      <c r="AD222" s="116"/>
      <c r="AE222" s="116"/>
      <c r="AF222" s="116"/>
      <c r="AG222" s="116"/>
      <c r="AH222" s="116"/>
      <c r="AI222" s="116"/>
    </row>
    <row r="223" spans="27:35" ht="18">
      <c r="AA223" s="116"/>
      <c r="AB223" s="87"/>
      <c r="AC223" s="116"/>
      <c r="AD223" s="116"/>
      <c r="AE223" s="116"/>
      <c r="AF223" s="116"/>
      <c r="AG223" s="116"/>
      <c r="AH223" s="116"/>
      <c r="AI223" s="116"/>
    </row>
    <row r="224" spans="27:35" ht="18">
      <c r="AA224" s="116"/>
      <c r="AB224" s="87"/>
      <c r="AC224" s="116"/>
      <c r="AD224" s="116"/>
      <c r="AE224" s="116"/>
      <c r="AF224" s="116"/>
      <c r="AG224" s="116"/>
      <c r="AH224" s="116"/>
      <c r="AI224" s="116"/>
    </row>
    <row r="225" spans="27:35" ht="18">
      <c r="AA225" s="116"/>
      <c r="AB225" s="87"/>
      <c r="AC225" s="116"/>
      <c r="AD225" s="116"/>
      <c r="AE225" s="116"/>
      <c r="AF225" s="116"/>
      <c r="AG225" s="116"/>
      <c r="AH225" s="116"/>
      <c r="AI225" s="116"/>
    </row>
    <row r="226" spans="27:35" ht="18">
      <c r="AA226" s="116"/>
      <c r="AB226" s="87"/>
      <c r="AC226" s="116"/>
      <c r="AD226" s="116"/>
      <c r="AE226" s="116"/>
      <c r="AF226" s="116"/>
      <c r="AG226" s="116"/>
      <c r="AH226" s="116"/>
      <c r="AI226" s="116"/>
    </row>
    <row r="227" spans="27:35" ht="18">
      <c r="AA227" s="116"/>
      <c r="AB227" s="87"/>
      <c r="AC227" s="116"/>
      <c r="AD227" s="116"/>
      <c r="AE227" s="116"/>
      <c r="AF227" s="116"/>
      <c r="AG227" s="116"/>
      <c r="AH227" s="116"/>
      <c r="AI227" s="116"/>
    </row>
    <row r="228" spans="27:35" ht="18">
      <c r="AA228" s="116"/>
      <c r="AB228" s="87"/>
      <c r="AC228" s="116"/>
      <c r="AD228" s="116"/>
      <c r="AE228" s="116"/>
      <c r="AF228" s="116"/>
      <c r="AG228" s="116"/>
      <c r="AH228" s="116"/>
      <c r="AI228" s="116"/>
    </row>
    <row r="229" spans="27:35" ht="18">
      <c r="AA229" s="116"/>
      <c r="AB229" s="87"/>
      <c r="AC229" s="116"/>
      <c r="AD229" s="116"/>
      <c r="AE229" s="116"/>
      <c r="AF229" s="116"/>
      <c r="AG229" s="116"/>
      <c r="AH229" s="116"/>
      <c r="AI229" s="116"/>
    </row>
    <row r="230" spans="27:35" ht="18">
      <c r="AA230" s="116"/>
      <c r="AB230" s="87"/>
      <c r="AC230" s="116"/>
      <c r="AD230" s="116"/>
      <c r="AE230" s="116"/>
      <c r="AF230" s="116"/>
      <c r="AG230" s="116"/>
      <c r="AH230" s="116"/>
      <c r="AI230" s="116"/>
    </row>
    <row r="231" spans="27:35" ht="18">
      <c r="AA231" s="116"/>
      <c r="AB231" s="87"/>
      <c r="AC231" s="116"/>
      <c r="AD231" s="116"/>
      <c r="AE231" s="116"/>
      <c r="AF231" s="116"/>
      <c r="AG231" s="116"/>
      <c r="AH231" s="116"/>
      <c r="AI231" s="116"/>
    </row>
    <row r="232" spans="27:35" ht="18">
      <c r="AA232" s="116"/>
      <c r="AB232" s="87"/>
      <c r="AC232" s="116"/>
      <c r="AD232" s="116"/>
      <c r="AE232" s="116"/>
      <c r="AF232" s="116"/>
      <c r="AG232" s="116"/>
      <c r="AH232" s="116"/>
      <c r="AI232" s="116"/>
    </row>
    <row r="233" spans="27:35" ht="18">
      <c r="AA233" s="116"/>
      <c r="AB233" s="87"/>
      <c r="AC233" s="116"/>
      <c r="AD233" s="116"/>
      <c r="AE233" s="116"/>
      <c r="AF233" s="116"/>
      <c r="AG233" s="116"/>
      <c r="AH233" s="116"/>
      <c r="AI233" s="116"/>
    </row>
    <row r="234" spans="27:35" ht="18">
      <c r="AA234" s="116"/>
      <c r="AB234" s="87"/>
      <c r="AC234" s="116"/>
      <c r="AD234" s="116"/>
      <c r="AE234" s="116"/>
      <c r="AF234" s="116"/>
      <c r="AG234" s="116"/>
      <c r="AH234" s="116"/>
      <c r="AI234" s="116"/>
    </row>
    <row r="235" spans="27:35" ht="18">
      <c r="AA235" s="116"/>
      <c r="AB235" s="87"/>
      <c r="AC235" s="116"/>
      <c r="AD235" s="116"/>
      <c r="AE235" s="116"/>
      <c r="AF235" s="116"/>
      <c r="AG235" s="116"/>
      <c r="AH235" s="116"/>
      <c r="AI235" s="116"/>
    </row>
    <row r="236" spans="27:35" ht="18">
      <c r="AA236" s="116"/>
      <c r="AB236" s="87"/>
      <c r="AC236" s="116"/>
      <c r="AD236" s="116"/>
      <c r="AE236" s="116"/>
      <c r="AF236" s="116"/>
      <c r="AG236" s="116"/>
      <c r="AH236" s="116"/>
      <c r="AI236" s="116"/>
    </row>
    <row r="237" spans="27:35" ht="18">
      <c r="AA237" s="116"/>
      <c r="AB237" s="87"/>
      <c r="AC237" s="116"/>
      <c r="AD237" s="116"/>
      <c r="AE237" s="116"/>
      <c r="AF237" s="116"/>
      <c r="AG237" s="116"/>
      <c r="AH237" s="116"/>
      <c r="AI237" s="116"/>
    </row>
    <row r="238" spans="27:35" ht="18">
      <c r="AA238" s="116"/>
      <c r="AB238" s="87"/>
      <c r="AC238" s="116"/>
      <c r="AD238" s="116"/>
      <c r="AE238" s="116"/>
      <c r="AF238" s="116"/>
      <c r="AG238" s="116"/>
      <c r="AH238" s="116"/>
      <c r="AI238" s="116"/>
    </row>
    <row r="239" spans="27:35" ht="18">
      <c r="AA239" s="116"/>
      <c r="AB239" s="87"/>
      <c r="AC239" s="116"/>
      <c r="AD239" s="116"/>
      <c r="AE239" s="116"/>
      <c r="AF239" s="116"/>
      <c r="AG239" s="116"/>
      <c r="AH239" s="116"/>
      <c r="AI239" s="116"/>
    </row>
    <row r="240" spans="27:35" ht="18">
      <c r="AA240" s="116"/>
      <c r="AB240" s="87"/>
      <c r="AC240" s="116"/>
      <c r="AD240" s="116"/>
      <c r="AE240" s="116"/>
      <c r="AF240" s="116"/>
      <c r="AG240" s="116"/>
      <c r="AH240" s="116"/>
      <c r="AI240" s="116"/>
    </row>
    <row r="241" spans="27:35" ht="18">
      <c r="AA241" s="116"/>
      <c r="AB241" s="87"/>
      <c r="AC241" s="116"/>
      <c r="AD241" s="116"/>
      <c r="AE241" s="116"/>
      <c r="AF241" s="116"/>
      <c r="AG241" s="116"/>
      <c r="AH241" s="116"/>
      <c r="AI241" s="116"/>
    </row>
    <row r="242" spans="27:35" ht="18">
      <c r="AA242" s="116"/>
      <c r="AB242" s="87"/>
      <c r="AC242" s="116"/>
      <c r="AD242" s="116"/>
      <c r="AE242" s="116"/>
      <c r="AF242" s="116"/>
      <c r="AG242" s="116"/>
      <c r="AH242" s="116"/>
      <c r="AI242" s="116"/>
    </row>
    <row r="243" spans="27:35" ht="18">
      <c r="AA243" s="116"/>
      <c r="AB243" s="87"/>
      <c r="AC243" s="116"/>
      <c r="AD243" s="116"/>
      <c r="AE243" s="116"/>
      <c r="AF243" s="116"/>
      <c r="AG243" s="116"/>
      <c r="AH243" s="116"/>
      <c r="AI243" s="116"/>
    </row>
    <row r="244" spans="27:35" ht="18">
      <c r="AA244" s="116"/>
      <c r="AB244" s="87"/>
      <c r="AC244" s="116"/>
      <c r="AD244" s="116"/>
      <c r="AE244" s="116"/>
      <c r="AF244" s="116"/>
      <c r="AG244" s="116"/>
      <c r="AH244" s="116"/>
      <c r="AI244" s="116"/>
    </row>
    <row r="245" spans="27:35" ht="18">
      <c r="AA245" s="116"/>
      <c r="AB245" s="87"/>
      <c r="AC245" s="116"/>
      <c r="AD245" s="116"/>
      <c r="AE245" s="116"/>
      <c r="AF245" s="116"/>
      <c r="AG245" s="116"/>
      <c r="AH245" s="116"/>
      <c r="AI245" s="116"/>
    </row>
    <row r="246" spans="27:35" ht="18">
      <c r="AA246" s="116"/>
      <c r="AB246" s="87"/>
      <c r="AC246" s="116"/>
      <c r="AD246" s="116"/>
      <c r="AE246" s="116"/>
      <c r="AF246" s="116"/>
      <c r="AG246" s="116"/>
      <c r="AH246" s="116"/>
      <c r="AI246" s="116"/>
    </row>
    <row r="247" spans="27:35" ht="18">
      <c r="AA247" s="116"/>
      <c r="AB247" s="87"/>
      <c r="AC247" s="116"/>
      <c r="AD247" s="116"/>
      <c r="AE247" s="116"/>
      <c r="AF247" s="116"/>
      <c r="AG247" s="116"/>
      <c r="AH247" s="116"/>
      <c r="AI247" s="116"/>
    </row>
    <row r="248" spans="27:35" ht="18">
      <c r="AA248" s="116"/>
      <c r="AB248" s="87"/>
      <c r="AC248" s="116"/>
      <c r="AD248" s="116"/>
      <c r="AE248" s="116"/>
      <c r="AF248" s="116"/>
      <c r="AG248" s="116"/>
      <c r="AH248" s="116"/>
      <c r="AI248" s="116"/>
    </row>
    <row r="249" spans="27:35" ht="18">
      <c r="AA249" s="116"/>
      <c r="AB249" s="87"/>
      <c r="AC249" s="116"/>
      <c r="AD249" s="116"/>
      <c r="AE249" s="116"/>
      <c r="AF249" s="116"/>
      <c r="AG249" s="116"/>
      <c r="AH249" s="116"/>
      <c r="AI249" s="116"/>
    </row>
    <row r="250" spans="27:35" ht="18">
      <c r="AA250" s="116"/>
      <c r="AB250" s="87"/>
      <c r="AC250" s="116"/>
      <c r="AD250" s="116"/>
      <c r="AE250" s="116"/>
      <c r="AF250" s="116"/>
      <c r="AG250" s="116"/>
      <c r="AH250" s="116"/>
      <c r="AI250" s="116"/>
    </row>
    <row r="251" spans="27:35" ht="18">
      <c r="AA251" s="116"/>
      <c r="AB251" s="87"/>
      <c r="AC251" s="116"/>
      <c r="AD251" s="116"/>
      <c r="AE251" s="116"/>
      <c r="AF251" s="116"/>
      <c r="AG251" s="116"/>
      <c r="AH251" s="116"/>
      <c r="AI251" s="116"/>
    </row>
    <row r="252" spans="27:35" ht="18">
      <c r="AA252" s="116"/>
      <c r="AB252" s="87"/>
      <c r="AC252" s="116"/>
      <c r="AD252" s="116"/>
      <c r="AE252" s="116"/>
      <c r="AF252" s="116"/>
      <c r="AG252" s="116"/>
      <c r="AH252" s="116"/>
      <c r="AI252" s="116"/>
    </row>
    <row r="253" spans="27:35" ht="18">
      <c r="AA253" s="116"/>
      <c r="AB253" s="87"/>
      <c r="AC253" s="116"/>
      <c r="AD253" s="116"/>
      <c r="AE253" s="116"/>
      <c r="AF253" s="116"/>
      <c r="AG253" s="116"/>
      <c r="AH253" s="116"/>
      <c r="AI253" s="116"/>
    </row>
    <row r="254" spans="27:35" ht="18">
      <c r="AA254" s="116"/>
      <c r="AB254" s="87"/>
      <c r="AC254" s="116"/>
      <c r="AD254" s="116"/>
      <c r="AE254" s="116"/>
      <c r="AF254" s="116"/>
      <c r="AG254" s="116"/>
      <c r="AH254" s="116"/>
      <c r="AI254" s="116"/>
    </row>
    <row r="255" spans="27:35" ht="18">
      <c r="AA255" s="116"/>
      <c r="AB255" s="87"/>
      <c r="AC255" s="116"/>
      <c r="AD255" s="116"/>
      <c r="AE255" s="116"/>
      <c r="AF255" s="116"/>
      <c r="AG255" s="116"/>
      <c r="AH255" s="116"/>
      <c r="AI255" s="116"/>
    </row>
    <row r="256" spans="27:35" ht="18">
      <c r="AA256" s="116"/>
      <c r="AB256" s="87"/>
      <c r="AC256" s="116"/>
      <c r="AD256" s="116"/>
      <c r="AE256" s="116"/>
      <c r="AF256" s="116"/>
      <c r="AG256" s="116"/>
      <c r="AH256" s="116"/>
      <c r="AI256" s="116"/>
    </row>
    <row r="257" spans="27:35" ht="18">
      <c r="AA257" s="116"/>
      <c r="AB257" s="87"/>
      <c r="AC257" s="116"/>
      <c r="AD257" s="116"/>
      <c r="AE257" s="116"/>
      <c r="AF257" s="116"/>
      <c r="AG257" s="116"/>
      <c r="AH257" s="116"/>
      <c r="AI257" s="116"/>
    </row>
    <row r="258" spans="27:35" ht="18">
      <c r="AA258" s="116"/>
      <c r="AB258" s="87"/>
      <c r="AC258" s="116"/>
      <c r="AD258" s="116"/>
      <c r="AE258" s="116"/>
      <c r="AF258" s="116"/>
      <c r="AG258" s="116"/>
      <c r="AH258" s="116"/>
      <c r="AI258" s="116"/>
    </row>
    <row r="259" spans="27:35" ht="18">
      <c r="AA259" s="116"/>
      <c r="AB259" s="87"/>
      <c r="AC259" s="116"/>
      <c r="AD259" s="116"/>
      <c r="AE259" s="116"/>
      <c r="AF259" s="116"/>
      <c r="AG259" s="116"/>
      <c r="AH259" s="116"/>
      <c r="AI259" s="116"/>
    </row>
    <row r="260" spans="27:35" ht="18">
      <c r="AA260" s="116"/>
      <c r="AB260" s="87"/>
      <c r="AC260" s="116"/>
      <c r="AD260" s="116"/>
      <c r="AE260" s="116"/>
      <c r="AF260" s="116"/>
      <c r="AG260" s="116"/>
      <c r="AH260" s="116"/>
      <c r="AI260" s="116"/>
    </row>
    <row r="261" spans="27:35" ht="18">
      <c r="AA261" s="116"/>
      <c r="AB261" s="87"/>
      <c r="AC261" s="116"/>
      <c r="AD261" s="116"/>
      <c r="AE261" s="116"/>
      <c r="AF261" s="116"/>
      <c r="AG261" s="116"/>
      <c r="AH261" s="116"/>
      <c r="AI261" s="116"/>
    </row>
    <row r="262" spans="27:35" ht="18">
      <c r="AA262" s="116"/>
      <c r="AB262" s="87"/>
      <c r="AC262" s="116"/>
      <c r="AD262" s="116"/>
      <c r="AE262" s="116"/>
      <c r="AF262" s="116"/>
      <c r="AG262" s="116"/>
      <c r="AH262" s="116"/>
      <c r="AI262" s="116"/>
    </row>
    <row r="263" spans="27:35" ht="18">
      <c r="AA263" s="116"/>
      <c r="AB263" s="87"/>
      <c r="AC263" s="116"/>
      <c r="AD263" s="116"/>
      <c r="AE263" s="116"/>
      <c r="AF263" s="116"/>
      <c r="AG263" s="116"/>
      <c r="AH263" s="116"/>
      <c r="AI263" s="116"/>
    </row>
    <row r="264" spans="27:35" ht="18">
      <c r="AA264" s="116"/>
      <c r="AB264" s="87"/>
      <c r="AC264" s="116"/>
      <c r="AD264" s="116"/>
      <c r="AE264" s="116"/>
      <c r="AF264" s="116"/>
      <c r="AG264" s="116"/>
      <c r="AH264" s="116"/>
      <c r="AI264" s="116"/>
    </row>
    <row r="265" spans="27:35" ht="18">
      <c r="AA265" s="116"/>
      <c r="AB265" s="87"/>
      <c r="AC265" s="116"/>
      <c r="AD265" s="116"/>
      <c r="AE265" s="116"/>
      <c r="AF265" s="116"/>
      <c r="AG265" s="116"/>
      <c r="AH265" s="116"/>
      <c r="AI265" s="116"/>
    </row>
    <row r="266" spans="27:35" ht="18">
      <c r="AA266" s="116"/>
      <c r="AB266" s="87"/>
      <c r="AC266" s="116"/>
      <c r="AD266" s="116"/>
      <c r="AE266" s="116"/>
      <c r="AF266" s="116"/>
      <c r="AG266" s="116"/>
      <c r="AH266" s="116"/>
      <c r="AI266" s="116"/>
    </row>
    <row r="267" spans="27:35" ht="18">
      <c r="AA267" s="116"/>
      <c r="AB267" s="87"/>
      <c r="AC267" s="116"/>
      <c r="AD267" s="116"/>
      <c r="AE267" s="116"/>
      <c r="AF267" s="116"/>
      <c r="AG267" s="116"/>
      <c r="AH267" s="116"/>
      <c r="AI267" s="116"/>
    </row>
    <row r="268" spans="27:35" ht="18">
      <c r="AA268" s="116"/>
      <c r="AB268" s="87"/>
      <c r="AC268" s="116"/>
      <c r="AD268" s="116"/>
      <c r="AE268" s="116"/>
      <c r="AF268" s="116"/>
      <c r="AG268" s="116"/>
      <c r="AH268" s="116"/>
      <c r="AI268" s="116"/>
    </row>
    <row r="269" spans="27:35" ht="18">
      <c r="AA269" s="116"/>
      <c r="AB269" s="87"/>
      <c r="AC269" s="116"/>
      <c r="AD269" s="116"/>
      <c r="AE269" s="116"/>
      <c r="AF269" s="116"/>
      <c r="AG269" s="116"/>
      <c r="AH269" s="116"/>
      <c r="AI269" s="116"/>
    </row>
    <row r="270" spans="27:35" ht="18">
      <c r="AA270" s="116"/>
      <c r="AB270" s="87"/>
      <c r="AC270" s="116"/>
      <c r="AD270" s="116"/>
      <c r="AE270" s="116"/>
      <c r="AF270" s="116"/>
      <c r="AG270" s="116"/>
      <c r="AH270" s="116"/>
      <c r="AI270" s="116"/>
    </row>
    <row r="271" spans="27:35" ht="18">
      <c r="AA271" s="116"/>
      <c r="AB271" s="87"/>
      <c r="AC271" s="116"/>
      <c r="AD271" s="116"/>
      <c r="AE271" s="116"/>
      <c r="AF271" s="116"/>
      <c r="AG271" s="116"/>
      <c r="AH271" s="116"/>
      <c r="AI271" s="116"/>
    </row>
    <row r="272" spans="27:35" ht="18">
      <c r="AA272" s="116"/>
      <c r="AB272" s="87"/>
      <c r="AC272" s="116"/>
      <c r="AD272" s="116"/>
      <c r="AE272" s="116"/>
      <c r="AF272" s="116"/>
      <c r="AG272" s="116"/>
      <c r="AH272" s="116"/>
      <c r="AI272" s="116"/>
    </row>
    <row r="273" spans="27:35" ht="18">
      <c r="AA273" s="116"/>
      <c r="AB273" s="87"/>
      <c r="AC273" s="116"/>
      <c r="AD273" s="116"/>
      <c r="AE273" s="116"/>
      <c r="AF273" s="116"/>
      <c r="AG273" s="116"/>
      <c r="AH273" s="116"/>
      <c r="AI273" s="116"/>
    </row>
    <row r="274" spans="27:35" ht="18">
      <c r="AA274" s="116"/>
      <c r="AB274" s="87"/>
      <c r="AC274" s="116"/>
      <c r="AD274" s="116"/>
      <c r="AE274" s="116"/>
      <c r="AF274" s="116"/>
      <c r="AG274" s="116"/>
      <c r="AH274" s="116"/>
      <c r="AI274" s="116"/>
    </row>
    <row r="275" spans="27:35" ht="18">
      <c r="AA275" s="116"/>
      <c r="AB275" s="87"/>
      <c r="AC275" s="116"/>
      <c r="AD275" s="116"/>
      <c r="AE275" s="116"/>
      <c r="AF275" s="116"/>
      <c r="AG275" s="116"/>
      <c r="AH275" s="116"/>
      <c r="AI275" s="116"/>
    </row>
    <row r="276" spans="27:35" ht="18">
      <c r="AA276" s="116"/>
      <c r="AB276" s="184"/>
      <c r="AC276" s="116"/>
      <c r="AD276" s="116"/>
      <c r="AE276" s="116"/>
      <c r="AF276" s="116"/>
      <c r="AG276" s="116"/>
      <c r="AH276" s="116"/>
      <c r="AI276" s="116"/>
    </row>
    <row r="277" spans="27:35" ht="18">
      <c r="AA277" s="116"/>
      <c r="AB277" s="184"/>
      <c r="AC277" s="116"/>
      <c r="AD277" s="116"/>
      <c r="AE277" s="116"/>
      <c r="AF277" s="116"/>
      <c r="AG277" s="116"/>
      <c r="AH277" s="116"/>
      <c r="AI277" s="116"/>
    </row>
    <row r="278" spans="27:35" ht="18">
      <c r="AA278" s="116"/>
      <c r="AB278" s="87"/>
      <c r="AC278" s="116"/>
      <c r="AD278" s="116"/>
      <c r="AE278" s="116"/>
      <c r="AF278" s="116"/>
      <c r="AG278" s="116"/>
      <c r="AH278" s="116"/>
      <c r="AI278" s="116"/>
    </row>
    <row r="279" spans="27:35" ht="18">
      <c r="AA279" s="116"/>
      <c r="AB279" s="87"/>
      <c r="AC279" s="116"/>
      <c r="AD279" s="116"/>
      <c r="AE279" s="116"/>
      <c r="AF279" s="116"/>
      <c r="AG279" s="116"/>
      <c r="AH279" s="116"/>
      <c r="AI279" s="116"/>
    </row>
    <row r="280" spans="27:35" ht="18">
      <c r="AA280" s="116"/>
      <c r="AB280" s="87"/>
      <c r="AC280" s="116"/>
      <c r="AD280" s="116"/>
      <c r="AE280" s="116"/>
      <c r="AF280" s="116"/>
      <c r="AG280" s="116"/>
      <c r="AH280" s="116"/>
      <c r="AI280" s="116"/>
    </row>
    <row r="281" spans="27:35" ht="18">
      <c r="AA281" s="116"/>
      <c r="AB281" s="87"/>
      <c r="AC281" s="116"/>
      <c r="AD281" s="116"/>
      <c r="AE281" s="116"/>
      <c r="AF281" s="116"/>
      <c r="AG281" s="116"/>
      <c r="AH281" s="116"/>
      <c r="AI281" s="116"/>
    </row>
    <row r="282" spans="27:35" ht="18">
      <c r="AA282" s="116"/>
      <c r="AB282" s="87"/>
      <c r="AC282" s="116"/>
      <c r="AD282" s="116"/>
      <c r="AE282" s="116"/>
      <c r="AF282" s="116"/>
      <c r="AG282" s="116"/>
      <c r="AH282" s="116"/>
      <c r="AI282" s="116"/>
    </row>
    <row r="283" spans="27:35" ht="18">
      <c r="AA283" s="116"/>
      <c r="AB283" s="87"/>
      <c r="AC283" s="116"/>
      <c r="AD283" s="116"/>
      <c r="AE283" s="116"/>
      <c r="AF283" s="116"/>
      <c r="AG283" s="116"/>
      <c r="AH283" s="116"/>
      <c r="AI283" s="116"/>
    </row>
    <row r="284" spans="27:35" ht="18">
      <c r="AA284" s="116"/>
      <c r="AB284" s="184"/>
      <c r="AC284" s="116"/>
      <c r="AD284" s="116"/>
      <c r="AE284" s="116"/>
      <c r="AF284" s="116"/>
      <c r="AG284" s="116"/>
      <c r="AH284" s="116"/>
      <c r="AI284" s="116"/>
    </row>
    <row r="285" spans="27:35" ht="18">
      <c r="AA285" s="116"/>
      <c r="AB285" s="184"/>
      <c r="AC285" s="116"/>
      <c r="AD285" s="116"/>
      <c r="AE285" s="116"/>
      <c r="AF285" s="116"/>
      <c r="AG285" s="116"/>
      <c r="AH285" s="116"/>
      <c r="AI285" s="116"/>
    </row>
    <row r="286" spans="27:35" ht="18">
      <c r="AA286" s="116"/>
      <c r="AB286" s="87"/>
      <c r="AC286" s="116"/>
      <c r="AD286" s="116"/>
      <c r="AE286" s="116"/>
      <c r="AF286" s="116"/>
      <c r="AG286" s="116"/>
      <c r="AH286" s="116"/>
      <c r="AI286" s="116"/>
    </row>
    <row r="287" spans="27:35" ht="18">
      <c r="AA287" s="116"/>
      <c r="AB287" s="87"/>
      <c r="AC287" s="116"/>
      <c r="AD287" s="116"/>
      <c r="AE287" s="116"/>
      <c r="AF287" s="116"/>
      <c r="AG287" s="116"/>
      <c r="AH287" s="116"/>
      <c r="AI287" s="116"/>
    </row>
    <row r="288" spans="27:35" ht="18">
      <c r="AA288" s="116"/>
      <c r="AB288" s="87"/>
      <c r="AC288" s="116"/>
      <c r="AD288" s="116"/>
      <c r="AE288" s="116"/>
      <c r="AF288" s="116"/>
      <c r="AG288" s="116"/>
      <c r="AH288" s="116"/>
      <c r="AI288" s="116"/>
    </row>
    <row r="289" spans="27:35" ht="18">
      <c r="AA289" s="116"/>
      <c r="AB289" s="87"/>
      <c r="AC289" s="116"/>
      <c r="AD289" s="116"/>
      <c r="AE289" s="116"/>
      <c r="AF289" s="116"/>
      <c r="AG289" s="116"/>
      <c r="AH289" s="116"/>
      <c r="AI289" s="116"/>
    </row>
    <row r="290" spans="27:35" ht="18">
      <c r="AA290" s="116"/>
      <c r="AB290" s="87"/>
      <c r="AC290" s="116"/>
      <c r="AD290" s="116"/>
      <c r="AE290" s="116"/>
      <c r="AF290" s="116"/>
      <c r="AG290" s="116"/>
      <c r="AH290" s="116"/>
      <c r="AI290" s="116"/>
    </row>
    <row r="291" spans="27:35" ht="18">
      <c r="AA291" s="116"/>
      <c r="AB291" s="87"/>
      <c r="AC291" s="116"/>
      <c r="AD291" s="116"/>
      <c r="AE291" s="116"/>
      <c r="AF291" s="116"/>
      <c r="AG291" s="116"/>
      <c r="AH291" s="116"/>
      <c r="AI291" s="116"/>
    </row>
    <row r="292" spans="27:35" ht="18">
      <c r="AA292" s="116"/>
      <c r="AB292" s="87"/>
      <c r="AC292" s="116"/>
      <c r="AD292" s="116"/>
      <c r="AE292" s="116"/>
      <c r="AF292" s="116"/>
      <c r="AG292" s="116"/>
      <c r="AH292" s="116"/>
      <c r="AI292" s="116"/>
    </row>
    <row r="293" spans="27:35" ht="18">
      <c r="AA293" s="116"/>
      <c r="AB293" s="87"/>
      <c r="AC293" s="116"/>
      <c r="AD293" s="116"/>
      <c r="AE293" s="116"/>
      <c r="AF293" s="116"/>
      <c r="AG293" s="116"/>
      <c r="AH293" s="116"/>
      <c r="AI293" s="116"/>
    </row>
    <row r="294" spans="27:35" ht="18">
      <c r="AA294" s="116"/>
      <c r="AB294" s="87"/>
      <c r="AC294" s="116"/>
      <c r="AD294" s="116"/>
      <c r="AE294" s="116"/>
      <c r="AF294" s="116"/>
      <c r="AG294" s="116"/>
      <c r="AH294" s="116"/>
      <c r="AI294" s="116"/>
    </row>
    <row r="295" spans="27:35" ht="18">
      <c r="AA295" s="116"/>
      <c r="AB295" s="87"/>
      <c r="AC295" s="116"/>
      <c r="AD295" s="116"/>
      <c r="AE295" s="116"/>
      <c r="AF295" s="116"/>
      <c r="AG295" s="116"/>
      <c r="AH295" s="116"/>
      <c r="AI295" s="116"/>
    </row>
    <row r="296" spans="27:35" ht="18">
      <c r="AA296" s="116"/>
      <c r="AB296" s="87"/>
      <c r="AC296" s="116"/>
      <c r="AD296" s="116"/>
      <c r="AE296" s="116"/>
      <c r="AF296" s="116"/>
      <c r="AG296" s="116"/>
      <c r="AH296" s="116"/>
      <c r="AI296" s="116"/>
    </row>
    <row r="297" spans="27:35" ht="18">
      <c r="AA297" s="116"/>
      <c r="AB297" s="87"/>
      <c r="AC297" s="116"/>
      <c r="AD297" s="116"/>
      <c r="AE297" s="116"/>
      <c r="AF297" s="116"/>
      <c r="AG297" s="116"/>
      <c r="AH297" s="116"/>
      <c r="AI297" s="116"/>
    </row>
    <row r="298" spans="27:35" ht="18">
      <c r="AA298" s="116"/>
      <c r="AB298" s="87"/>
      <c r="AC298" s="116"/>
      <c r="AD298" s="116"/>
      <c r="AE298" s="116"/>
      <c r="AF298" s="116"/>
      <c r="AG298" s="116"/>
      <c r="AH298" s="116"/>
      <c r="AI298" s="116"/>
    </row>
    <row r="299" spans="27:35" ht="18">
      <c r="AA299" s="116"/>
      <c r="AB299" s="87"/>
      <c r="AC299" s="116"/>
      <c r="AD299" s="116"/>
      <c r="AE299" s="116"/>
      <c r="AF299" s="116"/>
      <c r="AG299" s="116"/>
      <c r="AH299" s="116"/>
      <c r="AI299" s="116"/>
    </row>
    <row r="300" spans="27:35" ht="18">
      <c r="AA300" s="116"/>
      <c r="AB300" s="87"/>
      <c r="AC300" s="116"/>
      <c r="AD300" s="116"/>
      <c r="AE300" s="116"/>
      <c r="AF300" s="116"/>
      <c r="AG300" s="116"/>
      <c r="AH300" s="116"/>
      <c r="AI300" s="116"/>
    </row>
    <row r="301" spans="27:35" ht="18">
      <c r="AA301" s="116"/>
      <c r="AB301" s="87"/>
      <c r="AC301" s="116"/>
      <c r="AD301" s="116"/>
      <c r="AE301" s="116"/>
      <c r="AF301" s="116"/>
      <c r="AG301" s="116"/>
      <c r="AH301" s="116"/>
      <c r="AI301" s="116"/>
    </row>
    <row r="302" spans="27:35" ht="18">
      <c r="AA302" s="116"/>
      <c r="AB302" s="87"/>
      <c r="AC302" s="116"/>
      <c r="AD302" s="116"/>
      <c r="AE302" s="116"/>
      <c r="AF302" s="116"/>
      <c r="AG302" s="116"/>
      <c r="AH302" s="116"/>
      <c r="AI302" s="116"/>
    </row>
    <row r="303" spans="27:35" ht="18">
      <c r="AA303" s="116"/>
      <c r="AB303" s="87"/>
      <c r="AC303" s="116"/>
      <c r="AD303" s="116"/>
      <c r="AE303" s="116"/>
      <c r="AF303" s="116"/>
      <c r="AG303" s="116"/>
      <c r="AH303" s="116"/>
      <c r="AI303" s="116"/>
    </row>
    <row r="304" spans="27:35" ht="18">
      <c r="AA304" s="116"/>
      <c r="AB304" s="87"/>
      <c r="AC304" s="116"/>
      <c r="AD304" s="116"/>
      <c r="AE304" s="116"/>
      <c r="AF304" s="116"/>
      <c r="AG304" s="116"/>
      <c r="AH304" s="116"/>
      <c r="AI304" s="116"/>
    </row>
    <row r="305" spans="27:35" ht="18">
      <c r="AA305" s="116"/>
      <c r="AB305" s="87"/>
      <c r="AC305" s="116"/>
      <c r="AD305" s="116"/>
      <c r="AE305" s="116"/>
      <c r="AF305" s="116"/>
      <c r="AG305" s="116"/>
      <c r="AH305" s="116"/>
      <c r="AI305" s="116"/>
    </row>
    <row r="306" spans="27:35" ht="18">
      <c r="AA306" s="116"/>
      <c r="AB306" s="87"/>
      <c r="AC306" s="116"/>
      <c r="AD306" s="116"/>
      <c r="AE306" s="116"/>
      <c r="AF306" s="116"/>
      <c r="AG306" s="116"/>
      <c r="AH306" s="116"/>
      <c r="AI306" s="116"/>
    </row>
    <row r="307" spans="27:35" ht="18">
      <c r="AA307" s="116"/>
      <c r="AB307" s="87"/>
      <c r="AC307" s="116"/>
      <c r="AD307" s="116"/>
      <c r="AE307" s="116"/>
      <c r="AF307" s="116"/>
      <c r="AG307" s="116"/>
      <c r="AH307" s="116"/>
      <c r="AI307" s="116"/>
    </row>
    <row r="308" spans="27:35" ht="18">
      <c r="AA308" s="116"/>
      <c r="AB308" s="87"/>
      <c r="AC308" s="116"/>
      <c r="AD308" s="116"/>
      <c r="AE308" s="116"/>
      <c r="AF308" s="116"/>
      <c r="AG308" s="116"/>
      <c r="AH308" s="116"/>
      <c r="AI308" s="116"/>
    </row>
    <row r="309" spans="27:35" ht="18">
      <c r="AA309" s="116"/>
      <c r="AB309" s="87"/>
      <c r="AC309" s="116"/>
      <c r="AD309" s="116"/>
      <c r="AE309" s="116"/>
      <c r="AF309" s="116"/>
      <c r="AG309" s="116"/>
      <c r="AH309" s="116"/>
      <c r="AI309" s="116"/>
    </row>
    <row r="310" spans="27:35" ht="18">
      <c r="AA310" s="116"/>
      <c r="AB310" s="87"/>
      <c r="AC310" s="116"/>
      <c r="AD310" s="116"/>
      <c r="AE310" s="116"/>
      <c r="AF310" s="116"/>
      <c r="AG310" s="116"/>
      <c r="AH310" s="116"/>
      <c r="AI310" s="116"/>
    </row>
    <row r="311" spans="27:35" ht="18">
      <c r="AA311" s="116"/>
      <c r="AB311" s="87"/>
      <c r="AC311" s="116"/>
      <c r="AD311" s="116"/>
      <c r="AE311" s="116"/>
      <c r="AF311" s="116"/>
      <c r="AG311" s="116"/>
      <c r="AH311" s="116"/>
      <c r="AI311" s="116"/>
    </row>
    <row r="312" spans="27:35" ht="18">
      <c r="AA312" s="116"/>
      <c r="AB312" s="87"/>
      <c r="AC312" s="116"/>
      <c r="AD312" s="116"/>
      <c r="AE312" s="116"/>
      <c r="AF312" s="116"/>
      <c r="AG312" s="116"/>
      <c r="AH312" s="116"/>
      <c r="AI312" s="116"/>
    </row>
    <row r="313" spans="27:35" ht="18">
      <c r="AA313" s="116"/>
      <c r="AB313" s="87"/>
      <c r="AC313" s="116"/>
      <c r="AD313" s="116"/>
      <c r="AE313" s="116"/>
      <c r="AF313" s="116"/>
      <c r="AG313" s="116"/>
      <c r="AH313" s="116"/>
      <c r="AI313" s="116"/>
    </row>
    <row r="314" spans="27:35" ht="18">
      <c r="AA314" s="116"/>
      <c r="AB314" s="87"/>
      <c r="AC314" s="116"/>
      <c r="AD314" s="116"/>
      <c r="AE314" s="116"/>
      <c r="AF314" s="116"/>
      <c r="AG314" s="116"/>
      <c r="AH314" s="116"/>
      <c r="AI314" s="116"/>
    </row>
    <row r="315" spans="27:35" ht="18">
      <c r="AA315" s="116"/>
      <c r="AB315" s="87"/>
      <c r="AC315" s="116"/>
      <c r="AD315" s="116"/>
      <c r="AE315" s="116"/>
      <c r="AF315" s="116"/>
      <c r="AG315" s="116"/>
      <c r="AH315" s="116"/>
      <c r="AI315" s="116"/>
    </row>
    <row r="316" spans="27:35" ht="18">
      <c r="AA316" s="116"/>
      <c r="AB316" s="87"/>
      <c r="AC316" s="116"/>
      <c r="AD316" s="116"/>
      <c r="AE316" s="116"/>
      <c r="AF316" s="116"/>
      <c r="AG316" s="116"/>
      <c r="AH316" s="116"/>
      <c r="AI316" s="116"/>
    </row>
    <row r="317" spans="27:35" ht="18">
      <c r="AA317" s="116"/>
      <c r="AB317" s="87"/>
      <c r="AC317" s="116"/>
      <c r="AD317" s="116"/>
      <c r="AE317" s="116"/>
      <c r="AF317" s="116"/>
      <c r="AG317" s="116"/>
      <c r="AH317" s="116"/>
      <c r="AI317" s="116"/>
    </row>
    <row r="318" spans="27:35" ht="18">
      <c r="AA318" s="116"/>
      <c r="AB318" s="87"/>
      <c r="AC318" s="116"/>
      <c r="AD318" s="116"/>
      <c r="AE318" s="116"/>
      <c r="AF318" s="116"/>
      <c r="AG318" s="116"/>
      <c r="AH318" s="116"/>
      <c r="AI318" s="116"/>
    </row>
    <row r="319" spans="27:35" ht="18">
      <c r="AA319" s="116"/>
      <c r="AB319" s="87"/>
      <c r="AC319" s="116"/>
      <c r="AD319" s="116"/>
      <c r="AE319" s="116"/>
      <c r="AF319" s="116"/>
      <c r="AG319" s="116"/>
      <c r="AH319" s="116"/>
      <c r="AI319" s="116"/>
    </row>
    <row r="320" spans="27:35" ht="18">
      <c r="AA320" s="116"/>
      <c r="AB320" s="87"/>
      <c r="AC320" s="116"/>
      <c r="AD320" s="116"/>
      <c r="AE320" s="116"/>
      <c r="AF320" s="116"/>
      <c r="AG320" s="116"/>
      <c r="AH320" s="116"/>
      <c r="AI320" s="116"/>
    </row>
    <row r="321" spans="27:35" ht="18">
      <c r="AA321" s="116"/>
      <c r="AB321" s="87"/>
      <c r="AC321" s="116"/>
      <c r="AD321" s="116"/>
      <c r="AE321" s="116"/>
      <c r="AF321" s="116"/>
      <c r="AG321" s="116"/>
      <c r="AH321" s="116"/>
      <c r="AI321" s="116"/>
    </row>
    <row r="322" spans="27:35" ht="18">
      <c r="AA322" s="116"/>
      <c r="AB322" s="87"/>
      <c r="AC322" s="116"/>
      <c r="AD322" s="116"/>
      <c r="AE322" s="116"/>
      <c r="AF322" s="116"/>
      <c r="AG322" s="116"/>
      <c r="AH322" s="116"/>
      <c r="AI322" s="116"/>
    </row>
    <row r="323" spans="27:35" ht="18">
      <c r="AA323" s="116"/>
      <c r="AB323" s="87"/>
      <c r="AC323" s="116"/>
      <c r="AD323" s="116"/>
      <c r="AE323" s="116"/>
      <c r="AF323" s="116"/>
      <c r="AG323" s="116"/>
      <c r="AH323" s="116"/>
      <c r="AI323" s="116"/>
    </row>
    <row r="324" spans="27:35" ht="18">
      <c r="AA324" s="116"/>
      <c r="AB324" s="87"/>
      <c r="AC324" s="116"/>
      <c r="AD324" s="116"/>
      <c r="AE324" s="116"/>
      <c r="AF324" s="116"/>
      <c r="AG324" s="116"/>
      <c r="AH324" s="116"/>
      <c r="AI324" s="116"/>
    </row>
    <row r="325" spans="27:35" ht="18">
      <c r="AA325" s="116"/>
      <c r="AB325" s="87"/>
      <c r="AC325" s="116"/>
      <c r="AD325" s="116"/>
      <c r="AE325" s="116"/>
      <c r="AF325" s="116"/>
      <c r="AG325" s="116"/>
      <c r="AH325" s="116"/>
      <c r="AI325" s="116"/>
    </row>
    <row r="326" spans="27:35" ht="18">
      <c r="AA326" s="116"/>
      <c r="AB326" s="87"/>
      <c r="AC326" s="116"/>
      <c r="AD326" s="116"/>
      <c r="AE326" s="116"/>
      <c r="AF326" s="116"/>
      <c r="AG326" s="116"/>
      <c r="AH326" s="116"/>
      <c r="AI326" s="116"/>
    </row>
    <row r="327" spans="27:35" ht="18">
      <c r="AA327" s="116"/>
      <c r="AB327" s="87"/>
      <c r="AC327" s="116"/>
      <c r="AD327" s="116"/>
      <c r="AE327" s="116"/>
      <c r="AF327" s="116"/>
      <c r="AG327" s="116"/>
      <c r="AH327" s="116"/>
      <c r="AI327" s="116"/>
    </row>
    <row r="328" spans="27:35" ht="18">
      <c r="AA328" s="116"/>
      <c r="AB328" s="87"/>
      <c r="AC328" s="116"/>
      <c r="AD328" s="116"/>
      <c r="AE328" s="116"/>
      <c r="AF328" s="116"/>
      <c r="AG328" s="116"/>
      <c r="AH328" s="116"/>
      <c r="AI328" s="116"/>
    </row>
    <row r="329" spans="27:35" ht="18">
      <c r="AA329" s="116"/>
      <c r="AB329" s="87"/>
      <c r="AC329" s="116"/>
      <c r="AD329" s="116"/>
      <c r="AE329" s="116"/>
      <c r="AF329" s="116"/>
      <c r="AG329" s="116"/>
      <c r="AH329" s="116"/>
      <c r="AI329" s="116"/>
    </row>
    <row r="330" spans="27:35" ht="18">
      <c r="AA330" s="116"/>
      <c r="AB330" s="87"/>
      <c r="AC330" s="116"/>
      <c r="AD330" s="116"/>
      <c r="AE330" s="116"/>
      <c r="AF330" s="116"/>
      <c r="AG330" s="116"/>
      <c r="AH330" s="116"/>
      <c r="AI330" s="116"/>
    </row>
    <row r="331" spans="27:35" ht="18">
      <c r="AA331" s="116"/>
      <c r="AB331" s="87"/>
      <c r="AC331" s="116"/>
      <c r="AD331" s="116"/>
      <c r="AE331" s="116"/>
      <c r="AF331" s="116"/>
      <c r="AG331" s="116"/>
      <c r="AH331" s="116"/>
      <c r="AI331" s="116"/>
    </row>
    <row r="332" spans="27:35" ht="18">
      <c r="AA332" s="116"/>
      <c r="AB332" s="87"/>
      <c r="AC332" s="116"/>
      <c r="AD332" s="116"/>
      <c r="AE332" s="116"/>
      <c r="AF332" s="116"/>
      <c r="AG332" s="116"/>
      <c r="AH332" s="116"/>
      <c r="AI332" s="116"/>
    </row>
    <row r="333" spans="27:35" ht="18">
      <c r="AA333" s="116"/>
      <c r="AB333" s="87"/>
      <c r="AC333" s="116"/>
      <c r="AD333" s="116"/>
      <c r="AE333" s="116"/>
      <c r="AF333" s="116"/>
      <c r="AG333" s="116"/>
      <c r="AH333" s="116"/>
      <c r="AI333" s="116"/>
    </row>
    <row r="334" spans="27:35" ht="18">
      <c r="AA334" s="116"/>
      <c r="AB334" s="87"/>
      <c r="AC334" s="116"/>
      <c r="AD334" s="116"/>
      <c r="AE334" s="116"/>
      <c r="AF334" s="116"/>
      <c r="AG334" s="116"/>
      <c r="AH334" s="116"/>
      <c r="AI334" s="116"/>
    </row>
    <row r="335" spans="27:35" ht="18">
      <c r="AA335" s="116"/>
      <c r="AB335" s="87"/>
      <c r="AC335" s="116"/>
      <c r="AD335" s="116"/>
      <c r="AE335" s="116"/>
      <c r="AF335" s="116"/>
      <c r="AG335" s="116"/>
      <c r="AH335" s="116"/>
      <c r="AI335" s="116"/>
    </row>
    <row r="336" spans="27:35" ht="18">
      <c r="AA336" s="116"/>
      <c r="AB336" s="87"/>
      <c r="AC336" s="116"/>
      <c r="AD336" s="116"/>
      <c r="AE336" s="116"/>
      <c r="AF336" s="116"/>
      <c r="AG336" s="116"/>
      <c r="AH336" s="116"/>
      <c r="AI336" s="116"/>
    </row>
    <row r="337" spans="27:35" ht="18">
      <c r="AA337" s="116"/>
      <c r="AB337" s="87"/>
      <c r="AC337" s="116"/>
      <c r="AD337" s="116"/>
      <c r="AE337" s="116"/>
      <c r="AF337" s="116"/>
      <c r="AG337" s="116"/>
      <c r="AH337" s="116"/>
      <c r="AI337" s="116"/>
    </row>
    <row r="338" spans="27:35" ht="18">
      <c r="AA338" s="116"/>
      <c r="AB338" s="87"/>
      <c r="AC338" s="116"/>
      <c r="AD338" s="116"/>
      <c r="AE338" s="116"/>
      <c r="AF338" s="116"/>
      <c r="AG338" s="116"/>
      <c r="AH338" s="116"/>
      <c r="AI338" s="116"/>
    </row>
    <row r="339" spans="27:35" ht="18">
      <c r="AA339" s="116"/>
      <c r="AB339" s="87"/>
      <c r="AC339" s="116"/>
      <c r="AD339" s="116"/>
      <c r="AE339" s="116"/>
      <c r="AF339" s="116"/>
      <c r="AG339" s="116"/>
      <c r="AH339" s="116"/>
      <c r="AI339" s="116"/>
    </row>
    <row r="340" spans="27:35" ht="18">
      <c r="AA340" s="116"/>
      <c r="AB340" s="184"/>
      <c r="AC340" s="116"/>
      <c r="AD340" s="116"/>
      <c r="AE340" s="116"/>
      <c r="AF340" s="116"/>
      <c r="AG340" s="116"/>
      <c r="AH340" s="116"/>
      <c r="AI340" s="116"/>
    </row>
    <row r="341" spans="27:35" ht="18">
      <c r="AA341" s="116"/>
      <c r="AB341" s="87"/>
      <c r="AC341" s="116"/>
      <c r="AD341" s="116"/>
      <c r="AE341" s="116"/>
      <c r="AF341" s="116"/>
      <c r="AG341" s="116"/>
      <c r="AH341" s="116"/>
      <c r="AI341" s="116"/>
    </row>
    <row r="342" spans="27:35" ht="18">
      <c r="AA342" s="116"/>
      <c r="AB342" s="87"/>
      <c r="AC342" s="116"/>
      <c r="AD342" s="116"/>
      <c r="AE342" s="116"/>
      <c r="AF342" s="116"/>
      <c r="AG342" s="116"/>
      <c r="AH342" s="116"/>
      <c r="AI342" s="116"/>
    </row>
    <row r="343" spans="27:35" ht="18">
      <c r="AA343" s="116"/>
      <c r="AB343" s="87"/>
      <c r="AC343" s="116"/>
      <c r="AD343" s="116"/>
      <c r="AE343" s="116"/>
      <c r="AF343" s="116"/>
      <c r="AG343" s="116"/>
      <c r="AH343" s="116"/>
      <c r="AI343" s="116"/>
    </row>
    <row r="344" spans="27:35" ht="18">
      <c r="AA344" s="116"/>
      <c r="AB344" s="87"/>
      <c r="AC344" s="116"/>
      <c r="AD344" s="116"/>
      <c r="AE344" s="116"/>
      <c r="AF344" s="116"/>
      <c r="AG344" s="116"/>
      <c r="AH344" s="116"/>
      <c r="AI344" s="116"/>
    </row>
    <row r="345" spans="27:35" ht="18">
      <c r="AA345" s="116"/>
      <c r="AB345" s="184"/>
      <c r="AC345" s="116"/>
      <c r="AD345" s="116"/>
      <c r="AE345" s="116"/>
      <c r="AF345" s="116"/>
      <c r="AG345" s="116"/>
      <c r="AH345" s="116"/>
      <c r="AI345" s="116"/>
    </row>
    <row r="346" spans="27:35" ht="18">
      <c r="AA346" s="116"/>
      <c r="AB346" s="184"/>
      <c r="AC346" s="116"/>
      <c r="AD346" s="116"/>
      <c r="AE346" s="116"/>
      <c r="AF346" s="116"/>
      <c r="AG346" s="116"/>
      <c r="AH346" s="116"/>
      <c r="AI346" s="116"/>
    </row>
    <row r="347" spans="27:35" ht="18">
      <c r="AA347" s="116"/>
      <c r="AB347" s="87"/>
      <c r="AC347" s="116"/>
      <c r="AD347" s="116"/>
      <c r="AE347" s="116"/>
      <c r="AF347" s="116"/>
      <c r="AG347" s="116"/>
      <c r="AH347" s="116"/>
      <c r="AI347" s="116"/>
    </row>
    <row r="348" spans="27:35" ht="18">
      <c r="AA348" s="116"/>
      <c r="AB348" s="87"/>
      <c r="AC348" s="116"/>
      <c r="AD348" s="116"/>
      <c r="AE348" s="116"/>
      <c r="AF348" s="116"/>
      <c r="AG348" s="116"/>
      <c r="AH348" s="116"/>
      <c r="AI348" s="116"/>
    </row>
    <row r="349" spans="27:35" ht="18">
      <c r="AA349" s="116"/>
      <c r="AB349" s="87"/>
      <c r="AC349" s="116"/>
      <c r="AD349" s="116"/>
      <c r="AE349" s="116"/>
      <c r="AF349" s="116"/>
      <c r="AG349" s="116"/>
      <c r="AH349" s="116"/>
      <c r="AI349" s="116"/>
    </row>
    <row r="350" spans="27:35" ht="18">
      <c r="AA350" s="116"/>
      <c r="AB350" s="87"/>
      <c r="AC350" s="116"/>
      <c r="AD350" s="116"/>
      <c r="AE350" s="116"/>
      <c r="AF350" s="116"/>
      <c r="AG350" s="116"/>
      <c r="AH350" s="116"/>
      <c r="AI350" s="116"/>
    </row>
    <row r="351" spans="27:35" ht="18">
      <c r="AA351" s="116"/>
      <c r="AB351" s="87"/>
      <c r="AC351" s="116"/>
      <c r="AD351" s="116"/>
      <c r="AE351" s="116"/>
      <c r="AF351" s="116"/>
      <c r="AG351" s="116"/>
      <c r="AH351" s="116"/>
      <c r="AI351" s="116"/>
    </row>
    <row r="352" spans="27:35" ht="18">
      <c r="AA352" s="116"/>
      <c r="AB352" s="87"/>
      <c r="AC352" s="116"/>
      <c r="AD352" s="116"/>
      <c r="AE352" s="116"/>
      <c r="AF352" s="116"/>
      <c r="AG352" s="116"/>
      <c r="AH352" s="116"/>
      <c r="AI352" s="116"/>
    </row>
    <row r="353" spans="27:35" ht="18">
      <c r="AA353" s="116"/>
      <c r="AB353" s="87"/>
      <c r="AC353" s="116"/>
      <c r="AD353" s="116"/>
      <c r="AE353" s="116"/>
      <c r="AF353" s="116"/>
      <c r="AG353" s="116"/>
      <c r="AH353" s="116"/>
      <c r="AI353" s="116"/>
    </row>
    <row r="354" spans="27:35" ht="18">
      <c r="AA354" s="116"/>
      <c r="AB354" s="87"/>
      <c r="AC354" s="116"/>
      <c r="AD354" s="116"/>
      <c r="AE354" s="116"/>
      <c r="AF354" s="116"/>
      <c r="AG354" s="116"/>
      <c r="AH354" s="116"/>
      <c r="AI354" s="116"/>
    </row>
    <row r="355" spans="27:35" ht="18">
      <c r="AA355" s="116"/>
      <c r="AB355" s="184"/>
      <c r="AC355" s="116"/>
      <c r="AD355" s="116"/>
      <c r="AE355" s="116"/>
      <c r="AF355" s="116"/>
      <c r="AG355" s="116"/>
      <c r="AH355" s="116"/>
      <c r="AI355" s="116"/>
    </row>
    <row r="356" spans="27:35" ht="18">
      <c r="AA356" s="116"/>
      <c r="AB356" s="184"/>
      <c r="AC356" s="116"/>
      <c r="AD356" s="116"/>
      <c r="AE356" s="116"/>
      <c r="AF356" s="116"/>
      <c r="AG356" s="116"/>
      <c r="AH356" s="116"/>
      <c r="AI356" s="116"/>
    </row>
    <row r="357" spans="27:35" ht="18">
      <c r="AA357" s="116"/>
      <c r="AB357" s="184"/>
      <c r="AC357" s="116"/>
      <c r="AD357" s="116"/>
      <c r="AE357" s="116"/>
      <c r="AF357" s="116"/>
      <c r="AG357" s="116"/>
      <c r="AH357" s="116"/>
      <c r="AI357" s="116"/>
    </row>
    <row r="358" spans="27:35" ht="18">
      <c r="AA358" s="116"/>
      <c r="AB358" s="87"/>
      <c r="AC358" s="116"/>
      <c r="AD358" s="116"/>
      <c r="AE358" s="116"/>
      <c r="AF358" s="116"/>
      <c r="AG358" s="116"/>
      <c r="AH358" s="116"/>
      <c r="AI358" s="116"/>
    </row>
    <row r="359" spans="27:35" ht="18">
      <c r="AA359" s="116"/>
      <c r="AB359" s="87"/>
      <c r="AC359" s="116"/>
      <c r="AD359" s="116"/>
      <c r="AE359" s="116"/>
      <c r="AF359" s="116"/>
      <c r="AG359" s="116"/>
      <c r="AH359" s="116"/>
      <c r="AI359" s="116"/>
    </row>
    <row r="360" spans="27:35" ht="18">
      <c r="AA360" s="116"/>
      <c r="AB360" s="184"/>
      <c r="AC360" s="116"/>
      <c r="AD360" s="116"/>
      <c r="AE360" s="116"/>
      <c r="AF360" s="116"/>
      <c r="AG360" s="116"/>
      <c r="AH360" s="116"/>
      <c r="AI360" s="116"/>
    </row>
    <row r="361" spans="27:35" ht="18">
      <c r="AA361" s="116"/>
      <c r="AB361" s="87"/>
      <c r="AC361" s="116"/>
      <c r="AD361" s="116"/>
      <c r="AE361" s="116"/>
      <c r="AF361" s="116"/>
      <c r="AG361" s="116"/>
      <c r="AH361" s="116"/>
      <c r="AI361" s="116"/>
    </row>
    <row r="362" spans="27:35" ht="18">
      <c r="AA362" s="116"/>
      <c r="AB362" s="87"/>
      <c r="AC362" s="116"/>
      <c r="AD362" s="116"/>
      <c r="AE362" s="116"/>
      <c r="AF362" s="116"/>
      <c r="AG362" s="116"/>
      <c r="AH362" s="116"/>
      <c r="AI362" s="116"/>
    </row>
    <row r="363" spans="27:35" ht="18">
      <c r="AA363" s="116"/>
      <c r="AB363" s="184"/>
      <c r="AC363" s="116"/>
      <c r="AD363" s="116"/>
      <c r="AE363" s="116"/>
      <c r="AF363" s="116"/>
      <c r="AG363" s="116"/>
      <c r="AH363" s="116"/>
      <c r="AI363" s="116"/>
    </row>
    <row r="364" spans="27:35" ht="18">
      <c r="AA364" s="116"/>
      <c r="AB364" s="87"/>
      <c r="AC364" s="116"/>
      <c r="AD364" s="116"/>
      <c r="AE364" s="116"/>
      <c r="AF364" s="116"/>
      <c r="AG364" s="116"/>
      <c r="AH364" s="116"/>
      <c r="AI364" s="116"/>
    </row>
    <row r="365" spans="27:35" ht="18">
      <c r="AA365" s="116"/>
      <c r="AB365" s="87"/>
      <c r="AC365" s="116"/>
      <c r="AD365" s="116"/>
      <c r="AE365" s="116"/>
      <c r="AF365" s="116"/>
      <c r="AG365" s="116"/>
      <c r="AH365" s="116"/>
      <c r="AI365" s="116"/>
    </row>
    <row r="366" spans="27:35" ht="18">
      <c r="AA366" s="116"/>
      <c r="AB366" s="184"/>
      <c r="AC366" s="116"/>
      <c r="AD366" s="116"/>
      <c r="AE366" s="116"/>
      <c r="AF366" s="116"/>
      <c r="AG366" s="116"/>
      <c r="AH366" s="116"/>
      <c r="AI366" s="116"/>
    </row>
    <row r="367" spans="27:35" ht="18">
      <c r="AA367" s="116"/>
      <c r="AB367" s="87"/>
      <c r="AC367" s="116"/>
      <c r="AD367" s="116"/>
      <c r="AE367" s="116"/>
      <c r="AF367" s="116"/>
      <c r="AG367" s="116"/>
      <c r="AH367" s="116"/>
      <c r="AI367" s="116"/>
    </row>
    <row r="368" spans="27:35" ht="18">
      <c r="AA368" s="116"/>
      <c r="AB368" s="87"/>
      <c r="AC368" s="116"/>
      <c r="AD368" s="116"/>
      <c r="AE368" s="116"/>
      <c r="AF368" s="116"/>
      <c r="AG368" s="116"/>
      <c r="AH368" s="116"/>
      <c r="AI368" s="116"/>
    </row>
    <row r="369" spans="27:35" ht="18">
      <c r="AA369" s="116"/>
      <c r="AB369" s="184"/>
      <c r="AC369" s="116"/>
      <c r="AD369" s="116"/>
      <c r="AE369" s="116"/>
      <c r="AF369" s="116"/>
      <c r="AG369" s="116"/>
      <c r="AH369" s="116"/>
      <c r="AI369" s="116"/>
    </row>
    <row r="370" spans="27:35" ht="18">
      <c r="AA370" s="116"/>
      <c r="AB370" s="87"/>
      <c r="AC370" s="116"/>
      <c r="AD370" s="116"/>
      <c r="AE370" s="116"/>
      <c r="AF370" s="116"/>
      <c r="AG370" s="116"/>
      <c r="AH370" s="116"/>
      <c r="AI370" s="116"/>
    </row>
    <row r="371" spans="27:35" ht="18">
      <c r="AA371" s="116"/>
      <c r="AB371" s="87"/>
      <c r="AC371" s="116"/>
      <c r="AD371" s="116"/>
      <c r="AE371" s="116"/>
      <c r="AF371" s="116"/>
      <c r="AG371" s="116"/>
      <c r="AH371" s="116"/>
      <c r="AI371" s="116"/>
    </row>
    <row r="372" spans="27:35" ht="18">
      <c r="AA372" s="116"/>
      <c r="AB372" s="87"/>
      <c r="AC372" s="116"/>
      <c r="AD372" s="116"/>
      <c r="AE372" s="116"/>
      <c r="AF372" s="116"/>
      <c r="AG372" s="116"/>
      <c r="AH372" s="116"/>
      <c r="AI372" s="116"/>
    </row>
    <row r="373" spans="27:35" ht="18">
      <c r="AA373" s="116"/>
      <c r="AB373" s="87"/>
      <c r="AC373" s="116"/>
      <c r="AD373" s="116"/>
      <c r="AE373" s="116"/>
      <c r="AF373" s="116"/>
      <c r="AG373" s="116"/>
      <c r="AH373" s="116"/>
      <c r="AI373" s="116"/>
    </row>
    <row r="374" spans="27:35" ht="18">
      <c r="AA374" s="116"/>
      <c r="AB374" s="87"/>
      <c r="AC374" s="116"/>
      <c r="AD374" s="116"/>
      <c r="AE374" s="116"/>
      <c r="AF374" s="116"/>
      <c r="AG374" s="116"/>
      <c r="AH374" s="116"/>
      <c r="AI374" s="116"/>
    </row>
    <row r="375" spans="27:35" ht="18">
      <c r="AA375" s="116"/>
      <c r="AB375" s="184"/>
      <c r="AC375" s="116"/>
      <c r="AD375" s="116"/>
      <c r="AE375" s="116"/>
      <c r="AF375" s="116"/>
      <c r="AG375" s="116"/>
      <c r="AH375" s="116"/>
      <c r="AI375" s="116"/>
    </row>
    <row r="376" spans="27:35" ht="18">
      <c r="AA376" s="116"/>
      <c r="AB376" s="184"/>
      <c r="AC376" s="116"/>
      <c r="AD376" s="116"/>
      <c r="AE376" s="116"/>
      <c r="AF376" s="116"/>
      <c r="AG376" s="116"/>
      <c r="AH376" s="116"/>
      <c r="AI376" s="116"/>
    </row>
    <row r="377" spans="27:35" ht="18">
      <c r="AA377" s="116"/>
      <c r="AB377" s="87"/>
      <c r="AC377" s="116"/>
      <c r="AD377" s="116"/>
      <c r="AE377" s="116"/>
      <c r="AF377" s="116"/>
      <c r="AG377" s="116"/>
      <c r="AH377" s="116"/>
      <c r="AI377" s="116"/>
    </row>
    <row r="378" spans="27:35" ht="18">
      <c r="AA378" s="116"/>
      <c r="AB378" s="87"/>
      <c r="AC378" s="116"/>
      <c r="AD378" s="116"/>
      <c r="AE378" s="116"/>
      <c r="AF378" s="116"/>
      <c r="AG378" s="116"/>
      <c r="AH378" s="116"/>
      <c r="AI378" s="116"/>
    </row>
    <row r="379" spans="27:35" ht="18">
      <c r="AA379" s="116"/>
      <c r="AB379" s="87"/>
      <c r="AC379" s="116"/>
      <c r="AD379" s="116"/>
      <c r="AE379" s="116"/>
      <c r="AF379" s="116"/>
      <c r="AG379" s="116"/>
      <c r="AH379" s="116"/>
      <c r="AI379" s="116"/>
    </row>
    <row r="380" spans="27:35" ht="18">
      <c r="AA380" s="116"/>
      <c r="AB380" s="87"/>
      <c r="AC380" s="116"/>
      <c r="AD380" s="116"/>
      <c r="AE380" s="116"/>
      <c r="AF380" s="116"/>
      <c r="AG380" s="116"/>
      <c r="AH380" s="116"/>
      <c r="AI380" s="116"/>
    </row>
    <row r="381" spans="27:35" ht="18">
      <c r="AA381" s="116"/>
      <c r="AB381" s="87"/>
      <c r="AC381" s="116"/>
      <c r="AD381" s="116"/>
      <c r="AE381" s="116"/>
      <c r="AF381" s="116"/>
      <c r="AG381" s="116"/>
      <c r="AH381" s="116"/>
      <c r="AI381" s="116"/>
    </row>
    <row r="382" spans="27:35" ht="18">
      <c r="AA382" s="116"/>
      <c r="AB382" s="184"/>
      <c r="AC382" s="116"/>
      <c r="AD382" s="116"/>
      <c r="AE382" s="116"/>
      <c r="AF382" s="116"/>
      <c r="AG382" s="116"/>
      <c r="AH382" s="116"/>
      <c r="AI382" s="116"/>
    </row>
    <row r="383" spans="27:35" ht="18">
      <c r="AA383" s="116"/>
      <c r="AB383" s="184"/>
      <c r="AC383" s="116"/>
      <c r="AD383" s="116"/>
      <c r="AE383" s="116"/>
      <c r="AF383" s="116"/>
      <c r="AG383" s="116"/>
      <c r="AH383" s="116"/>
      <c r="AI383" s="116"/>
    </row>
    <row r="384" spans="27:35" ht="18">
      <c r="AA384" s="116"/>
      <c r="AB384" s="87"/>
      <c r="AC384" s="116"/>
      <c r="AD384" s="116"/>
      <c r="AE384" s="116"/>
      <c r="AF384" s="116"/>
      <c r="AG384" s="116"/>
      <c r="AH384" s="116"/>
      <c r="AI384" s="116"/>
    </row>
    <row r="385" spans="27:35" ht="18">
      <c r="AA385" s="116"/>
      <c r="AB385" s="87"/>
      <c r="AC385" s="116"/>
      <c r="AD385" s="116"/>
      <c r="AE385" s="116"/>
      <c r="AF385" s="116"/>
      <c r="AG385" s="116"/>
      <c r="AH385" s="116"/>
      <c r="AI385" s="116"/>
    </row>
    <row r="386" spans="27:35" ht="18">
      <c r="AA386" s="116"/>
      <c r="AB386" s="87"/>
      <c r="AC386" s="116"/>
      <c r="AD386" s="116"/>
      <c r="AE386" s="116"/>
      <c r="AF386" s="116"/>
      <c r="AG386" s="116"/>
      <c r="AH386" s="116"/>
      <c r="AI386" s="116"/>
    </row>
    <row r="387" spans="27:35" ht="18">
      <c r="AA387" s="116"/>
      <c r="AB387" s="87"/>
      <c r="AC387" s="116"/>
      <c r="AD387" s="116"/>
      <c r="AE387" s="116"/>
      <c r="AF387" s="116"/>
      <c r="AG387" s="116"/>
      <c r="AH387" s="116"/>
      <c r="AI387" s="116"/>
    </row>
    <row r="388" spans="27:35" ht="18">
      <c r="AA388" s="116"/>
      <c r="AB388" s="87"/>
      <c r="AC388" s="116"/>
      <c r="AD388" s="116"/>
      <c r="AE388" s="116"/>
      <c r="AF388" s="116"/>
      <c r="AG388" s="116"/>
      <c r="AH388" s="116"/>
      <c r="AI388" s="116"/>
    </row>
    <row r="389" spans="27:35" ht="18">
      <c r="AA389" s="116"/>
      <c r="AB389" s="87"/>
      <c r="AC389" s="116"/>
      <c r="AD389" s="116"/>
      <c r="AE389" s="116"/>
      <c r="AF389" s="116"/>
      <c r="AG389" s="116"/>
      <c r="AH389" s="116"/>
      <c r="AI389" s="116"/>
    </row>
    <row r="390" spans="27:35" ht="18">
      <c r="AA390" s="116"/>
      <c r="AB390" s="87"/>
      <c r="AC390" s="116"/>
      <c r="AD390" s="116"/>
      <c r="AE390" s="116"/>
      <c r="AF390" s="116"/>
      <c r="AG390" s="116"/>
      <c r="AH390" s="116"/>
      <c r="AI390" s="116"/>
    </row>
    <row r="391" spans="27:35" ht="18">
      <c r="AA391" s="116"/>
      <c r="AB391" s="87"/>
      <c r="AC391" s="116"/>
      <c r="AD391" s="116"/>
      <c r="AE391" s="116"/>
      <c r="AF391" s="116"/>
      <c r="AG391" s="116"/>
      <c r="AH391" s="116"/>
      <c r="AI391" s="116"/>
    </row>
    <row r="392" spans="27:35" ht="18">
      <c r="AA392" s="116"/>
      <c r="AB392" s="87"/>
      <c r="AC392" s="116"/>
      <c r="AD392" s="116"/>
      <c r="AE392" s="116"/>
      <c r="AF392" s="116"/>
      <c r="AG392" s="116"/>
      <c r="AH392" s="116"/>
      <c r="AI392" s="116"/>
    </row>
    <row r="393" spans="27:35" ht="18">
      <c r="AA393" s="116"/>
      <c r="AB393" s="87"/>
      <c r="AC393" s="116"/>
      <c r="AD393" s="116"/>
      <c r="AE393" s="116"/>
      <c r="AF393" s="116"/>
      <c r="AG393" s="116"/>
      <c r="AH393" s="116"/>
      <c r="AI393" s="116"/>
    </row>
    <row r="394" spans="27:35" ht="18">
      <c r="AA394" s="116"/>
      <c r="AB394" s="87"/>
      <c r="AC394" s="116"/>
      <c r="AD394" s="116"/>
      <c r="AE394" s="116"/>
      <c r="AF394" s="116"/>
      <c r="AG394" s="116"/>
      <c r="AH394" s="116"/>
      <c r="AI394" s="116"/>
    </row>
    <row r="395" spans="27:35" ht="18">
      <c r="AA395" s="116"/>
      <c r="AB395" s="87"/>
      <c r="AC395" s="116"/>
      <c r="AD395" s="116"/>
      <c r="AE395" s="116"/>
      <c r="AF395" s="116"/>
      <c r="AG395" s="116"/>
      <c r="AH395" s="116"/>
      <c r="AI395" s="116"/>
    </row>
    <row r="396" spans="27:35" ht="18">
      <c r="AA396" s="116"/>
      <c r="AB396" s="87"/>
      <c r="AC396" s="116"/>
      <c r="AD396" s="116"/>
      <c r="AE396" s="116"/>
      <c r="AF396" s="116"/>
      <c r="AG396" s="116"/>
      <c r="AH396" s="116"/>
      <c r="AI396" s="116"/>
    </row>
    <row r="397" spans="27:35" ht="18">
      <c r="AA397" s="116"/>
      <c r="AB397" s="87"/>
      <c r="AC397" s="116"/>
      <c r="AD397" s="116"/>
      <c r="AE397" s="116"/>
      <c r="AF397" s="116"/>
      <c r="AG397" s="116"/>
      <c r="AH397" s="116"/>
      <c r="AI397" s="116"/>
    </row>
    <row r="398" spans="27:35" ht="18">
      <c r="AA398" s="116"/>
      <c r="AB398" s="87"/>
      <c r="AC398" s="116"/>
      <c r="AD398" s="116"/>
      <c r="AE398" s="116"/>
      <c r="AF398" s="116"/>
      <c r="AG398" s="116"/>
      <c r="AH398" s="116"/>
      <c r="AI398" s="116"/>
    </row>
    <row r="399" spans="27:35" ht="18">
      <c r="AA399" s="116"/>
      <c r="AB399" s="87"/>
      <c r="AC399" s="116"/>
      <c r="AD399" s="116"/>
      <c r="AE399" s="116"/>
      <c r="AF399" s="116"/>
      <c r="AG399" s="116"/>
      <c r="AH399" s="116"/>
      <c r="AI399" s="116"/>
    </row>
    <row r="400" spans="27:35" ht="18">
      <c r="AA400" s="116"/>
      <c r="AB400" s="184"/>
      <c r="AC400" s="116"/>
      <c r="AD400" s="116"/>
      <c r="AE400" s="116"/>
      <c r="AF400" s="116"/>
      <c r="AG400" s="116"/>
      <c r="AH400" s="116"/>
      <c r="AI400" s="116"/>
    </row>
    <row r="401" spans="27:35" ht="18">
      <c r="AA401" s="116"/>
      <c r="AB401" s="87"/>
      <c r="AC401" s="116"/>
      <c r="AD401" s="116"/>
      <c r="AE401" s="116"/>
      <c r="AF401" s="116"/>
      <c r="AG401" s="116"/>
      <c r="AH401" s="116"/>
      <c r="AI401" s="116"/>
    </row>
    <row r="402" spans="27:35" ht="18">
      <c r="AA402" s="116"/>
      <c r="AB402" s="87"/>
      <c r="AC402" s="116"/>
      <c r="AD402" s="116"/>
      <c r="AE402" s="116"/>
      <c r="AF402" s="116"/>
      <c r="AG402" s="116"/>
      <c r="AH402" s="116"/>
      <c r="AI402" s="116"/>
    </row>
    <row r="403" spans="27:35" ht="18">
      <c r="AA403" s="116"/>
      <c r="AB403" s="87"/>
      <c r="AC403" s="116"/>
      <c r="AD403" s="116"/>
      <c r="AE403" s="116"/>
      <c r="AF403" s="116"/>
      <c r="AG403" s="116"/>
      <c r="AH403" s="116"/>
      <c r="AI403" s="116"/>
    </row>
    <row r="404" spans="27:35" ht="18">
      <c r="AA404" s="116"/>
      <c r="AB404" s="184"/>
      <c r="AC404" s="116"/>
      <c r="AD404" s="116"/>
      <c r="AE404" s="116"/>
      <c r="AF404" s="116"/>
      <c r="AG404" s="116"/>
      <c r="AH404" s="116"/>
      <c r="AI404" s="116"/>
    </row>
    <row r="405" spans="27:35" ht="18">
      <c r="AA405" s="116"/>
      <c r="AB405" s="184"/>
      <c r="AC405" s="116"/>
      <c r="AD405" s="116"/>
      <c r="AE405" s="116"/>
      <c r="AF405" s="116"/>
      <c r="AG405" s="116"/>
      <c r="AH405" s="116"/>
      <c r="AI405" s="116"/>
    </row>
    <row r="406" spans="27:35" ht="18">
      <c r="AA406" s="116"/>
      <c r="AB406" s="87"/>
      <c r="AC406" s="116"/>
      <c r="AD406" s="116"/>
      <c r="AE406" s="116"/>
      <c r="AF406" s="116"/>
      <c r="AG406" s="116"/>
      <c r="AH406" s="116"/>
      <c r="AI406" s="116"/>
    </row>
    <row r="407" spans="27:35" ht="18">
      <c r="AA407" s="116"/>
      <c r="AB407" s="87"/>
      <c r="AC407" s="116"/>
      <c r="AD407" s="116"/>
      <c r="AE407" s="116"/>
      <c r="AF407" s="116"/>
      <c r="AG407" s="116"/>
      <c r="AH407" s="116"/>
      <c r="AI407" s="116"/>
    </row>
    <row r="408" spans="27:35" ht="18">
      <c r="AA408" s="116"/>
      <c r="AB408" s="87"/>
      <c r="AC408" s="116"/>
      <c r="AD408" s="116"/>
      <c r="AE408" s="116"/>
      <c r="AF408" s="116"/>
      <c r="AG408" s="116"/>
      <c r="AH408" s="116"/>
      <c r="AI408" s="116"/>
    </row>
    <row r="409" spans="27:35" ht="18">
      <c r="AA409" s="116"/>
      <c r="AB409" s="87"/>
      <c r="AC409" s="116"/>
      <c r="AD409" s="116"/>
      <c r="AE409" s="116"/>
      <c r="AF409" s="116"/>
      <c r="AG409" s="116"/>
      <c r="AH409" s="116"/>
      <c r="AI409" s="116"/>
    </row>
    <row r="410" spans="27:35" ht="18">
      <c r="AA410" s="116"/>
      <c r="AB410" s="87"/>
      <c r="AC410" s="116"/>
      <c r="AD410" s="116"/>
      <c r="AE410" s="116"/>
      <c r="AF410" s="116"/>
      <c r="AG410" s="116"/>
      <c r="AH410" s="116"/>
      <c r="AI410" s="116"/>
    </row>
    <row r="411" spans="27:35" ht="18">
      <c r="AA411" s="116"/>
      <c r="AB411" s="87"/>
      <c r="AC411" s="116"/>
      <c r="AD411" s="116"/>
      <c r="AE411" s="116"/>
      <c r="AF411" s="116"/>
      <c r="AG411" s="116"/>
      <c r="AH411" s="116"/>
      <c r="AI411" s="116"/>
    </row>
    <row r="412" spans="27:35" ht="18">
      <c r="AA412" s="116"/>
      <c r="AB412" s="87"/>
      <c r="AC412" s="116"/>
      <c r="AD412" s="116"/>
      <c r="AE412" s="116"/>
      <c r="AF412" s="116"/>
      <c r="AG412" s="116"/>
      <c r="AH412" s="116"/>
      <c r="AI412" s="116"/>
    </row>
    <row r="413" spans="27:35" ht="18">
      <c r="AA413" s="116"/>
      <c r="AB413" s="87"/>
      <c r="AC413" s="116"/>
      <c r="AD413" s="116"/>
      <c r="AE413" s="116"/>
      <c r="AF413" s="116"/>
      <c r="AG413" s="116"/>
      <c r="AH413" s="116"/>
      <c r="AI413" s="116"/>
    </row>
    <row r="414" spans="27:35" ht="18">
      <c r="AA414" s="116"/>
      <c r="AB414" s="87"/>
      <c r="AC414" s="116"/>
      <c r="AD414" s="116"/>
      <c r="AE414" s="116"/>
      <c r="AF414" s="116"/>
      <c r="AG414" s="116"/>
      <c r="AH414" s="116"/>
      <c r="AI414" s="116"/>
    </row>
    <row r="415" spans="27:35" ht="18">
      <c r="AA415" s="116"/>
      <c r="AB415" s="87"/>
      <c r="AC415" s="116"/>
      <c r="AD415" s="116"/>
      <c r="AE415" s="116"/>
      <c r="AF415" s="116"/>
      <c r="AG415" s="116"/>
      <c r="AH415" s="116"/>
      <c r="AI415" s="116"/>
    </row>
    <row r="416" spans="27:35" ht="18">
      <c r="AA416" s="116"/>
      <c r="AB416" s="87"/>
      <c r="AC416" s="116"/>
      <c r="AD416" s="116"/>
      <c r="AE416" s="116"/>
      <c r="AF416" s="116"/>
      <c r="AG416" s="116"/>
      <c r="AH416" s="116"/>
      <c r="AI416" s="116"/>
    </row>
    <row r="417" spans="27:35" ht="18">
      <c r="AA417" s="116"/>
      <c r="AB417" s="87"/>
      <c r="AC417" s="116"/>
      <c r="AD417" s="116"/>
      <c r="AE417" s="116"/>
      <c r="AF417" s="116"/>
      <c r="AG417" s="116"/>
      <c r="AH417" s="116"/>
      <c r="AI417" s="116"/>
    </row>
    <row r="418" spans="27:35" ht="18">
      <c r="AA418" s="116"/>
      <c r="AB418" s="87"/>
      <c r="AC418" s="116"/>
      <c r="AD418" s="116"/>
      <c r="AE418" s="116"/>
      <c r="AF418" s="116"/>
      <c r="AG418" s="116"/>
      <c r="AH418" s="116"/>
      <c r="AI418" s="116"/>
    </row>
    <row r="419" spans="27:35" ht="18">
      <c r="AA419" s="116"/>
      <c r="AB419" s="87"/>
      <c r="AC419" s="116"/>
      <c r="AD419" s="116"/>
      <c r="AE419" s="116"/>
      <c r="AF419" s="116"/>
      <c r="AG419" s="116"/>
      <c r="AH419" s="116"/>
      <c r="AI419" s="116"/>
    </row>
    <row r="420" spans="27:35" ht="18">
      <c r="AA420" s="116"/>
      <c r="AB420" s="87"/>
      <c r="AC420" s="116"/>
      <c r="AD420" s="116"/>
      <c r="AE420" s="116"/>
      <c r="AF420" s="116"/>
      <c r="AG420" s="116"/>
      <c r="AH420" s="116"/>
      <c r="AI420" s="116"/>
    </row>
    <row r="421" spans="27:35" ht="18">
      <c r="AA421" s="116"/>
      <c r="AB421" s="87"/>
      <c r="AC421" s="116"/>
      <c r="AD421" s="116"/>
      <c r="AE421" s="116"/>
      <c r="AF421" s="116"/>
      <c r="AG421" s="116"/>
      <c r="AH421" s="116"/>
      <c r="AI421" s="116"/>
    </row>
    <row r="422" spans="27:35" ht="18">
      <c r="AA422" s="116"/>
      <c r="AB422" s="87"/>
      <c r="AC422" s="116"/>
      <c r="AD422" s="116"/>
      <c r="AE422" s="116"/>
      <c r="AF422" s="116"/>
      <c r="AG422" s="116"/>
      <c r="AH422" s="116"/>
      <c r="AI422" s="116"/>
    </row>
    <row r="423" spans="27:35" ht="18">
      <c r="AA423" s="116"/>
      <c r="AB423" s="87"/>
      <c r="AC423" s="116"/>
      <c r="AD423" s="116"/>
      <c r="AE423" s="116"/>
      <c r="AF423" s="116"/>
      <c r="AG423" s="116"/>
      <c r="AH423" s="116"/>
      <c r="AI423" s="116"/>
    </row>
    <row r="424" spans="27:35" ht="18">
      <c r="AA424" s="116"/>
      <c r="AB424" s="87"/>
      <c r="AC424" s="116"/>
      <c r="AD424" s="116"/>
      <c r="AE424" s="116"/>
      <c r="AF424" s="116"/>
      <c r="AG424" s="116"/>
      <c r="AH424" s="116"/>
      <c r="AI424" s="116"/>
    </row>
    <row r="425" spans="27:35" ht="18">
      <c r="AA425" s="116"/>
      <c r="AB425" s="87"/>
      <c r="AC425" s="116"/>
      <c r="AD425" s="116"/>
      <c r="AE425" s="116"/>
      <c r="AF425" s="116"/>
      <c r="AG425" s="116"/>
      <c r="AH425" s="116"/>
      <c r="AI425" s="116"/>
    </row>
    <row r="426" spans="27:35" ht="18">
      <c r="AA426" s="116"/>
      <c r="AB426" s="87"/>
      <c r="AC426" s="116"/>
      <c r="AD426" s="116"/>
      <c r="AE426" s="116"/>
      <c r="AF426" s="116"/>
      <c r="AG426" s="116"/>
      <c r="AH426" s="116"/>
      <c r="AI426" s="116"/>
    </row>
    <row r="427" spans="27:35" ht="18">
      <c r="AA427" s="116"/>
      <c r="AB427" s="87"/>
      <c r="AC427" s="116"/>
      <c r="AD427" s="116"/>
      <c r="AE427" s="116"/>
      <c r="AF427" s="116"/>
      <c r="AG427" s="116"/>
      <c r="AH427" s="116"/>
      <c r="AI427" s="116"/>
    </row>
    <row r="428" spans="27:35" ht="18">
      <c r="AA428" s="116"/>
      <c r="AB428" s="87"/>
      <c r="AC428" s="116"/>
      <c r="AD428" s="116"/>
      <c r="AE428" s="116"/>
      <c r="AF428" s="116"/>
      <c r="AG428" s="116"/>
      <c r="AH428" s="116"/>
      <c r="AI428" s="116"/>
    </row>
    <row r="429" spans="27:35" ht="18">
      <c r="AA429" s="116"/>
      <c r="AB429" s="184"/>
      <c r="AC429" s="116"/>
      <c r="AD429" s="116"/>
      <c r="AE429" s="116"/>
      <c r="AF429" s="116"/>
      <c r="AG429" s="116"/>
      <c r="AH429" s="116"/>
      <c r="AI429" s="116"/>
    </row>
    <row r="430" spans="27:35" ht="18">
      <c r="AA430" s="116"/>
      <c r="AB430" s="184"/>
      <c r="AC430" s="116"/>
      <c r="AD430" s="116"/>
      <c r="AE430" s="116"/>
      <c r="AF430" s="116"/>
      <c r="AG430" s="116"/>
      <c r="AH430" s="116"/>
      <c r="AI430" s="116"/>
    </row>
    <row r="431" spans="27:35" ht="18">
      <c r="AA431" s="116"/>
      <c r="AB431" s="87"/>
      <c r="AC431" s="116"/>
      <c r="AD431" s="116"/>
      <c r="AE431" s="116"/>
      <c r="AF431" s="116"/>
      <c r="AG431" s="116"/>
      <c r="AH431" s="116"/>
      <c r="AI431" s="116"/>
    </row>
    <row r="432" spans="27:35" ht="18">
      <c r="AA432" s="116"/>
      <c r="AB432" s="87"/>
      <c r="AC432" s="116"/>
      <c r="AD432" s="116"/>
      <c r="AE432" s="116"/>
      <c r="AF432" s="116"/>
      <c r="AG432" s="116"/>
      <c r="AH432" s="116"/>
      <c r="AI432" s="116"/>
    </row>
    <row r="433" spans="27:35" ht="18">
      <c r="AA433" s="116"/>
      <c r="AB433" s="87"/>
      <c r="AC433" s="116"/>
      <c r="AD433" s="116"/>
      <c r="AE433" s="116"/>
      <c r="AF433" s="116"/>
      <c r="AG433" s="116"/>
      <c r="AH433" s="116"/>
      <c r="AI433" s="116"/>
    </row>
    <row r="434" spans="27:35" ht="18">
      <c r="AA434" s="116"/>
      <c r="AB434" s="87"/>
      <c r="AC434" s="116"/>
      <c r="AD434" s="116"/>
      <c r="AE434" s="116"/>
      <c r="AF434" s="116"/>
      <c r="AG434" s="116"/>
      <c r="AH434" s="116"/>
      <c r="AI434" s="116"/>
    </row>
    <row r="435" spans="27:35" ht="18">
      <c r="AA435" s="116"/>
      <c r="AB435" s="87"/>
      <c r="AC435" s="116"/>
      <c r="AD435" s="116"/>
      <c r="AE435" s="116"/>
      <c r="AF435" s="116"/>
      <c r="AG435" s="116"/>
      <c r="AH435" s="116"/>
      <c r="AI435" s="116"/>
    </row>
    <row r="436" spans="27:35" ht="18">
      <c r="AA436" s="116"/>
      <c r="AB436" s="87"/>
      <c r="AC436" s="116"/>
      <c r="AD436" s="116"/>
      <c r="AE436" s="116"/>
      <c r="AF436" s="116"/>
      <c r="AG436" s="116"/>
      <c r="AH436" s="116"/>
      <c r="AI436" s="116"/>
    </row>
    <row r="437" spans="27:35" ht="18">
      <c r="AA437" s="116"/>
      <c r="AB437" s="87"/>
      <c r="AC437" s="116"/>
      <c r="AD437" s="116"/>
      <c r="AE437" s="116"/>
      <c r="AF437" s="116"/>
      <c r="AG437" s="116"/>
      <c r="AH437" s="116"/>
      <c r="AI437" s="116"/>
    </row>
    <row r="438" spans="27:35" ht="18">
      <c r="AA438" s="116"/>
      <c r="AB438" s="87"/>
      <c r="AC438" s="116"/>
      <c r="AD438" s="116"/>
      <c r="AE438" s="116"/>
      <c r="AF438" s="116"/>
      <c r="AG438" s="116"/>
      <c r="AH438" s="116"/>
      <c r="AI438" s="116"/>
    </row>
    <row r="439" spans="27:35" ht="18">
      <c r="AA439" s="116"/>
      <c r="AB439" s="87"/>
      <c r="AC439" s="116"/>
      <c r="AD439" s="116"/>
      <c r="AE439" s="116"/>
      <c r="AF439" s="116"/>
      <c r="AG439" s="116"/>
      <c r="AH439" s="116"/>
      <c r="AI439" s="116"/>
    </row>
    <row r="440" spans="27:35" ht="18">
      <c r="AA440" s="116"/>
      <c r="AB440" s="87"/>
      <c r="AC440" s="116"/>
      <c r="AD440" s="116"/>
      <c r="AE440" s="116"/>
      <c r="AF440" s="116"/>
      <c r="AG440" s="116"/>
      <c r="AH440" s="116"/>
      <c r="AI440" s="116"/>
    </row>
    <row r="441" spans="27:35" ht="18">
      <c r="AA441" s="116"/>
      <c r="AB441" s="87"/>
      <c r="AC441" s="116"/>
      <c r="AD441" s="116"/>
      <c r="AE441" s="116"/>
      <c r="AF441" s="116"/>
      <c r="AG441" s="116"/>
      <c r="AH441" s="116"/>
      <c r="AI441" s="116"/>
    </row>
    <row r="442" spans="27:35" ht="18">
      <c r="AA442" s="116"/>
      <c r="AB442" s="87"/>
      <c r="AC442" s="116"/>
      <c r="AD442" s="116"/>
      <c r="AE442" s="116"/>
      <c r="AF442" s="116"/>
      <c r="AG442" s="116"/>
      <c r="AH442" s="116"/>
      <c r="AI442" s="116"/>
    </row>
    <row r="443" spans="27:35" ht="18">
      <c r="AA443" s="116"/>
      <c r="AB443" s="184"/>
      <c r="AC443" s="116"/>
      <c r="AD443" s="116"/>
      <c r="AE443" s="116"/>
      <c r="AF443" s="116"/>
      <c r="AG443" s="116"/>
      <c r="AH443" s="116"/>
      <c r="AI443" s="116"/>
    </row>
    <row r="444" spans="27:35" ht="18">
      <c r="AA444" s="116"/>
      <c r="AB444" s="87"/>
      <c r="AC444" s="116"/>
      <c r="AD444" s="116"/>
      <c r="AE444" s="116"/>
      <c r="AF444" s="116"/>
      <c r="AG444" s="116"/>
      <c r="AH444" s="116"/>
      <c r="AI444" s="116"/>
    </row>
    <row r="445" spans="27:35" ht="18">
      <c r="AA445" s="116"/>
      <c r="AB445" s="87"/>
      <c r="AC445" s="116"/>
      <c r="AD445" s="116"/>
      <c r="AE445" s="116"/>
      <c r="AF445" s="116"/>
      <c r="AG445" s="116"/>
      <c r="AH445" s="116"/>
      <c r="AI445" s="116"/>
    </row>
    <row r="446" spans="27:35" ht="18">
      <c r="AA446" s="116"/>
      <c r="AB446" s="87"/>
      <c r="AC446" s="116"/>
      <c r="AD446" s="116"/>
      <c r="AE446" s="116"/>
      <c r="AF446" s="116"/>
      <c r="AG446" s="116"/>
      <c r="AH446" s="116"/>
      <c r="AI446" s="116"/>
    </row>
    <row r="447" spans="27:35" ht="18">
      <c r="AA447" s="116"/>
      <c r="AB447" s="87"/>
      <c r="AC447" s="116"/>
      <c r="AD447" s="116"/>
      <c r="AE447" s="116"/>
      <c r="AF447" s="116"/>
      <c r="AG447" s="116"/>
      <c r="AH447" s="116"/>
      <c r="AI447" s="116"/>
    </row>
    <row r="448" spans="27:35" ht="18">
      <c r="AA448" s="116"/>
      <c r="AB448" s="87"/>
      <c r="AC448" s="116"/>
      <c r="AD448" s="116"/>
      <c r="AE448" s="116"/>
      <c r="AF448" s="116"/>
      <c r="AG448" s="116"/>
      <c r="AH448" s="116"/>
      <c r="AI448" s="116"/>
    </row>
    <row r="449" spans="27:35" ht="18">
      <c r="AA449" s="116"/>
      <c r="AB449" s="87"/>
      <c r="AC449" s="116"/>
      <c r="AD449" s="116"/>
      <c r="AE449" s="116"/>
      <c r="AF449" s="116"/>
      <c r="AG449" s="116"/>
      <c r="AH449" s="116"/>
      <c r="AI449" s="116"/>
    </row>
    <row r="450" spans="27:35" ht="18">
      <c r="AA450" s="116"/>
      <c r="AB450" s="87"/>
      <c r="AC450" s="116"/>
      <c r="AD450" s="116"/>
      <c r="AE450" s="116"/>
      <c r="AF450" s="116"/>
      <c r="AG450" s="116"/>
      <c r="AH450" s="116"/>
      <c r="AI450" s="116"/>
    </row>
    <row r="451" spans="27:35" ht="18">
      <c r="AA451" s="116"/>
      <c r="AB451" s="87"/>
      <c r="AC451" s="116"/>
      <c r="AD451" s="116"/>
      <c r="AE451" s="116"/>
      <c r="AF451" s="116"/>
      <c r="AG451" s="116"/>
      <c r="AH451" s="116"/>
      <c r="AI451" s="116"/>
    </row>
    <row r="452" spans="27:35" ht="18">
      <c r="AA452" s="116"/>
      <c r="AB452" s="87"/>
      <c r="AC452" s="116"/>
      <c r="AD452" s="116"/>
      <c r="AE452" s="116"/>
      <c r="AF452" s="116"/>
      <c r="AG452" s="116"/>
      <c r="AH452" s="116"/>
      <c r="AI452" s="116"/>
    </row>
    <row r="453" spans="27:35" ht="18">
      <c r="AA453" s="116"/>
      <c r="AB453" s="87"/>
      <c r="AC453" s="116"/>
      <c r="AD453" s="116"/>
      <c r="AE453" s="116"/>
      <c r="AF453" s="116"/>
      <c r="AG453" s="116"/>
      <c r="AH453" s="116"/>
      <c r="AI453" s="116"/>
    </row>
    <row r="454" spans="27:35" ht="18">
      <c r="AA454" s="116"/>
      <c r="AB454" s="87"/>
      <c r="AC454" s="116"/>
      <c r="AD454" s="116"/>
      <c r="AE454" s="116"/>
      <c r="AF454" s="116"/>
      <c r="AG454" s="116"/>
      <c r="AH454" s="116"/>
      <c r="AI454" s="116"/>
    </row>
    <row r="455" spans="27:35" ht="18">
      <c r="AA455" s="116"/>
      <c r="AB455" s="87"/>
      <c r="AC455" s="116"/>
      <c r="AD455" s="116"/>
      <c r="AE455" s="116"/>
      <c r="AF455" s="116"/>
      <c r="AG455" s="116"/>
      <c r="AH455" s="116"/>
      <c r="AI455" s="116"/>
    </row>
    <row r="456" spans="27:35" ht="18">
      <c r="AA456" s="116"/>
      <c r="AB456" s="87"/>
      <c r="AC456" s="116"/>
      <c r="AD456" s="116"/>
      <c r="AE456" s="116"/>
      <c r="AF456" s="116"/>
      <c r="AG456" s="116"/>
      <c r="AH456" s="116"/>
      <c r="AI456" s="116"/>
    </row>
    <row r="457" spans="27:35" ht="18">
      <c r="AA457" s="116"/>
      <c r="AB457" s="87"/>
      <c r="AC457" s="116"/>
      <c r="AD457" s="116"/>
      <c r="AE457" s="116"/>
      <c r="AF457" s="116"/>
      <c r="AG457" s="116"/>
      <c r="AH457" s="116"/>
      <c r="AI457" s="116"/>
    </row>
    <row r="458" spans="27:35" ht="18">
      <c r="AA458" s="116"/>
      <c r="AB458" s="87"/>
      <c r="AC458" s="116"/>
      <c r="AD458" s="116"/>
      <c r="AE458" s="116"/>
      <c r="AF458" s="116"/>
      <c r="AG458" s="116"/>
      <c r="AH458" s="116"/>
      <c r="AI458" s="116"/>
    </row>
    <row r="459" spans="27:35" ht="18">
      <c r="AA459" s="116"/>
      <c r="AB459" s="184"/>
      <c r="AC459" s="116"/>
      <c r="AD459" s="116"/>
      <c r="AE459" s="116"/>
      <c r="AF459" s="116"/>
      <c r="AG459" s="116"/>
      <c r="AH459" s="116"/>
      <c r="AI459" s="116"/>
    </row>
    <row r="460" spans="27:35" ht="18">
      <c r="AA460" s="116"/>
      <c r="AB460" s="87"/>
      <c r="AC460" s="116"/>
      <c r="AD460" s="116"/>
      <c r="AE460" s="116"/>
      <c r="AF460" s="116"/>
      <c r="AG460" s="116"/>
      <c r="AH460" s="116"/>
      <c r="AI460" s="116"/>
    </row>
    <row r="461" spans="27:35" ht="18">
      <c r="AA461" s="116"/>
      <c r="AB461" s="87"/>
      <c r="AC461" s="116"/>
      <c r="AD461" s="116"/>
      <c r="AE461" s="116"/>
      <c r="AF461" s="116"/>
      <c r="AG461" s="116"/>
      <c r="AH461" s="116"/>
      <c r="AI461" s="116"/>
    </row>
    <row r="462" spans="27:35" ht="18">
      <c r="AA462" s="116"/>
      <c r="AB462" s="184"/>
      <c r="AC462" s="116"/>
      <c r="AD462" s="116"/>
      <c r="AE462" s="116"/>
      <c r="AF462" s="116"/>
      <c r="AG462" s="116"/>
      <c r="AH462" s="116"/>
      <c r="AI462" s="116"/>
    </row>
    <row r="463" spans="27:35" ht="18">
      <c r="AA463" s="116"/>
      <c r="AB463" s="87"/>
      <c r="AC463" s="116"/>
      <c r="AD463" s="116"/>
      <c r="AE463" s="116"/>
      <c r="AF463" s="116"/>
      <c r="AG463" s="116"/>
      <c r="AH463" s="116"/>
      <c r="AI463" s="116"/>
    </row>
    <row r="464" spans="27:35" ht="18">
      <c r="AA464" s="116"/>
      <c r="AB464" s="87"/>
      <c r="AC464" s="116"/>
      <c r="AD464" s="116"/>
      <c r="AE464" s="116"/>
      <c r="AF464" s="116"/>
      <c r="AG464" s="116"/>
      <c r="AH464" s="116"/>
      <c r="AI464" s="116"/>
    </row>
    <row r="465" spans="27:35" ht="18">
      <c r="AA465" s="116"/>
      <c r="AB465" s="87"/>
      <c r="AC465" s="116"/>
      <c r="AD465" s="116"/>
      <c r="AE465" s="116"/>
      <c r="AF465" s="116"/>
      <c r="AG465" s="116"/>
      <c r="AH465" s="116"/>
      <c r="AI465" s="116"/>
    </row>
    <row r="466" spans="27:35" ht="18">
      <c r="AA466" s="116"/>
      <c r="AB466" s="87"/>
      <c r="AC466" s="116"/>
      <c r="AD466" s="116"/>
      <c r="AE466" s="116"/>
      <c r="AF466" s="116"/>
      <c r="AG466" s="116"/>
      <c r="AH466" s="116"/>
      <c r="AI466" s="116"/>
    </row>
    <row r="467" spans="27:35" ht="18">
      <c r="AA467" s="116"/>
      <c r="AB467" s="87"/>
      <c r="AC467" s="116"/>
      <c r="AD467" s="116"/>
      <c r="AE467" s="116"/>
      <c r="AF467" s="116"/>
      <c r="AG467" s="116"/>
      <c r="AH467" s="116"/>
      <c r="AI467" s="116"/>
    </row>
    <row r="468" spans="27:35" ht="18">
      <c r="AA468" s="116"/>
      <c r="AB468" s="87"/>
      <c r="AC468" s="116"/>
      <c r="AD468" s="116"/>
      <c r="AE468" s="116"/>
      <c r="AF468" s="116"/>
      <c r="AG468" s="116"/>
      <c r="AH468" s="116"/>
      <c r="AI468" s="116"/>
    </row>
    <row r="469" spans="27:35" ht="18">
      <c r="AA469" s="116"/>
      <c r="AB469" s="184"/>
      <c r="AC469" s="116"/>
      <c r="AD469" s="116"/>
      <c r="AE469" s="116"/>
      <c r="AF469" s="116"/>
      <c r="AG469" s="116"/>
      <c r="AH469" s="116"/>
      <c r="AI469" s="116"/>
    </row>
    <row r="470" spans="27:35" ht="18">
      <c r="AA470" s="116"/>
      <c r="AB470" s="87"/>
      <c r="AC470" s="116"/>
      <c r="AD470" s="116"/>
      <c r="AE470" s="116"/>
      <c r="AF470" s="116"/>
      <c r="AG470" s="116"/>
      <c r="AH470" s="116"/>
      <c r="AI470" s="116"/>
    </row>
    <row r="471" spans="27:35" ht="18">
      <c r="AA471" s="116"/>
      <c r="AB471" s="87"/>
      <c r="AC471" s="116"/>
      <c r="AD471" s="116"/>
      <c r="AE471" s="116"/>
      <c r="AF471" s="116"/>
      <c r="AG471" s="116"/>
      <c r="AH471" s="116"/>
      <c r="AI471" s="116"/>
    </row>
    <row r="472" spans="27:35" ht="18">
      <c r="AA472" s="116"/>
      <c r="AB472" s="87"/>
      <c r="AC472" s="116"/>
      <c r="AD472" s="116"/>
      <c r="AE472" s="116"/>
      <c r="AF472" s="116"/>
      <c r="AG472" s="116"/>
      <c r="AH472" s="116"/>
      <c r="AI472" s="116"/>
    </row>
    <row r="473" spans="27:35" ht="18">
      <c r="AA473" s="116"/>
      <c r="AB473" s="87"/>
      <c r="AC473" s="116"/>
      <c r="AD473" s="116"/>
      <c r="AE473" s="116"/>
      <c r="AF473" s="116"/>
      <c r="AG473" s="116"/>
      <c r="AH473" s="116"/>
      <c r="AI473" s="116"/>
    </row>
    <row r="474" spans="27:35" ht="18">
      <c r="AA474" s="116"/>
      <c r="AB474" s="87"/>
      <c r="AC474" s="116"/>
      <c r="AD474" s="116"/>
      <c r="AE474" s="116"/>
      <c r="AF474" s="116"/>
      <c r="AG474" s="116"/>
      <c r="AH474" s="116"/>
      <c r="AI474" s="116"/>
    </row>
    <row r="475" spans="27:35" ht="18">
      <c r="AA475" s="116"/>
      <c r="AB475" s="87"/>
      <c r="AC475" s="116"/>
      <c r="AD475" s="116"/>
      <c r="AE475" s="116"/>
      <c r="AF475" s="116"/>
      <c r="AG475" s="116"/>
      <c r="AH475" s="116"/>
      <c r="AI475" s="116"/>
    </row>
    <row r="476" spans="27:35" ht="18">
      <c r="AA476" s="116"/>
      <c r="AB476" s="184"/>
      <c r="AC476" s="116"/>
      <c r="AD476" s="116"/>
      <c r="AE476" s="116"/>
      <c r="AF476" s="116"/>
      <c r="AG476" s="116"/>
      <c r="AH476" s="116"/>
      <c r="AI476" s="116"/>
    </row>
    <row r="477" spans="27:35" ht="18">
      <c r="AA477" s="116"/>
      <c r="AB477" s="87"/>
      <c r="AC477" s="116"/>
      <c r="AD477" s="116"/>
      <c r="AE477" s="116"/>
      <c r="AF477" s="116"/>
      <c r="AG477" s="116"/>
      <c r="AH477" s="116"/>
      <c r="AI477" s="116"/>
    </row>
    <row r="478" spans="27:35" ht="18">
      <c r="AA478" s="116"/>
      <c r="AB478" s="87"/>
      <c r="AC478" s="116"/>
      <c r="AD478" s="116"/>
      <c r="AE478" s="116"/>
      <c r="AF478" s="116"/>
      <c r="AG478" s="116"/>
      <c r="AH478" s="116"/>
      <c r="AI478" s="116"/>
    </row>
    <row r="479" spans="27:35" ht="18">
      <c r="AA479" s="116"/>
      <c r="AB479" s="87"/>
      <c r="AC479" s="116"/>
      <c r="AD479" s="116"/>
      <c r="AE479" s="116"/>
      <c r="AF479" s="116"/>
      <c r="AG479" s="116"/>
      <c r="AH479" s="116"/>
      <c r="AI479" s="116"/>
    </row>
    <row r="480" spans="27:35" ht="18">
      <c r="AA480" s="116"/>
      <c r="AB480" s="87"/>
      <c r="AC480" s="116"/>
      <c r="AD480" s="116"/>
      <c r="AE480" s="116"/>
      <c r="AF480" s="116"/>
      <c r="AG480" s="116"/>
      <c r="AH480" s="116"/>
      <c r="AI480" s="116"/>
    </row>
    <row r="481" spans="27:35" ht="18">
      <c r="AA481" s="116"/>
      <c r="AB481" s="87"/>
      <c r="AC481" s="116"/>
      <c r="AD481" s="116"/>
      <c r="AE481" s="116"/>
      <c r="AF481" s="116"/>
      <c r="AG481" s="116"/>
      <c r="AH481" s="116"/>
      <c r="AI481" s="116"/>
    </row>
    <row r="482" spans="27:35" ht="18">
      <c r="AA482" s="116"/>
      <c r="AB482" s="87"/>
      <c r="AC482" s="116"/>
      <c r="AD482" s="116"/>
      <c r="AE482" s="116"/>
      <c r="AF482" s="116"/>
      <c r="AG482" s="116"/>
      <c r="AH482" s="116"/>
      <c r="AI482" s="116"/>
    </row>
    <row r="483" spans="27:35" ht="18">
      <c r="AA483" s="116"/>
      <c r="AB483" s="87"/>
      <c r="AC483" s="116"/>
      <c r="AD483" s="116"/>
      <c r="AE483" s="116"/>
      <c r="AF483" s="116"/>
      <c r="AG483" s="116"/>
      <c r="AH483" s="116"/>
      <c r="AI483" s="116"/>
    </row>
    <row r="484" spans="27:35" ht="18">
      <c r="AA484" s="116"/>
      <c r="AB484" s="184"/>
      <c r="AC484" s="116"/>
      <c r="AD484" s="116"/>
      <c r="AE484" s="116"/>
      <c r="AF484" s="116"/>
      <c r="AG484" s="116"/>
      <c r="AH484" s="116"/>
      <c r="AI484" s="116"/>
    </row>
    <row r="485" spans="27:35" ht="18">
      <c r="AA485" s="116"/>
      <c r="AB485" s="184"/>
      <c r="AC485" s="116"/>
      <c r="AD485" s="116"/>
      <c r="AE485" s="116"/>
      <c r="AF485" s="116"/>
      <c r="AG485" s="116"/>
      <c r="AH485" s="116"/>
      <c r="AI485" s="116"/>
    </row>
    <row r="486" spans="27:35" ht="18">
      <c r="AA486" s="116"/>
      <c r="AB486" s="87"/>
      <c r="AC486" s="116"/>
      <c r="AD486" s="116"/>
      <c r="AE486" s="116"/>
      <c r="AF486" s="116"/>
      <c r="AG486" s="116"/>
      <c r="AH486" s="116"/>
      <c r="AI486" s="116"/>
    </row>
    <row r="487" spans="27:35" ht="18">
      <c r="AA487" s="116"/>
      <c r="AB487" s="87"/>
      <c r="AC487" s="116"/>
      <c r="AD487" s="116"/>
      <c r="AE487" s="116"/>
      <c r="AF487" s="116"/>
      <c r="AG487" s="116"/>
      <c r="AH487" s="116"/>
      <c r="AI487" s="116"/>
    </row>
    <row r="488" spans="27:35" ht="18">
      <c r="AA488" s="116"/>
      <c r="AB488" s="87"/>
      <c r="AC488" s="116"/>
      <c r="AD488" s="116"/>
      <c r="AE488" s="116"/>
      <c r="AF488" s="116"/>
      <c r="AG488" s="116"/>
      <c r="AH488" s="116"/>
      <c r="AI488" s="116"/>
    </row>
    <row r="489" spans="27:35" ht="18">
      <c r="AA489" s="116"/>
      <c r="AB489" s="87"/>
      <c r="AC489" s="116"/>
      <c r="AD489" s="116"/>
      <c r="AE489" s="116"/>
      <c r="AF489" s="116"/>
      <c r="AG489" s="116"/>
      <c r="AH489" s="116"/>
      <c r="AI489" s="116"/>
    </row>
    <row r="490" spans="27:35" ht="18">
      <c r="AA490" s="116"/>
      <c r="AB490" s="87"/>
      <c r="AC490" s="116"/>
      <c r="AD490" s="116"/>
      <c r="AE490" s="116"/>
      <c r="AF490" s="116"/>
      <c r="AG490" s="116"/>
      <c r="AH490" s="116"/>
      <c r="AI490" s="116"/>
    </row>
    <row r="491" spans="27:35" ht="18">
      <c r="AA491" s="116"/>
      <c r="AB491" s="87"/>
      <c r="AC491" s="116"/>
      <c r="AD491" s="116"/>
      <c r="AE491" s="116"/>
      <c r="AF491" s="116"/>
      <c r="AG491" s="116"/>
      <c r="AH491" s="116"/>
      <c r="AI491" s="116"/>
    </row>
    <row r="492" spans="27:35" ht="18">
      <c r="AA492" s="116"/>
      <c r="AB492" s="87"/>
      <c r="AC492" s="116"/>
      <c r="AD492" s="116"/>
      <c r="AE492" s="116"/>
      <c r="AF492" s="116"/>
      <c r="AG492" s="116"/>
      <c r="AH492" s="116"/>
      <c r="AI492" s="116"/>
    </row>
    <row r="493" spans="27:35" ht="18">
      <c r="AA493" s="116"/>
      <c r="AB493" s="87"/>
      <c r="AC493" s="116"/>
      <c r="AD493" s="116"/>
      <c r="AE493" s="116"/>
      <c r="AF493" s="116"/>
      <c r="AG493" s="116"/>
      <c r="AH493" s="116"/>
      <c r="AI493" s="116"/>
    </row>
    <row r="494" spans="27:35" ht="18">
      <c r="AA494" s="116"/>
      <c r="AB494" s="87"/>
      <c r="AC494" s="116"/>
      <c r="AD494" s="116"/>
      <c r="AE494" s="116"/>
      <c r="AF494" s="116"/>
      <c r="AG494" s="116"/>
      <c r="AH494" s="116"/>
      <c r="AI494" s="116"/>
    </row>
    <row r="495" spans="27:35" ht="18">
      <c r="AA495" s="116"/>
      <c r="AB495" s="184"/>
      <c r="AC495" s="116"/>
      <c r="AD495" s="116"/>
      <c r="AE495" s="116"/>
      <c r="AF495" s="116"/>
      <c r="AG495" s="116"/>
      <c r="AH495" s="116"/>
      <c r="AI495" s="116"/>
    </row>
    <row r="496" spans="27:35" ht="18">
      <c r="AA496" s="116"/>
      <c r="AB496" s="87"/>
      <c r="AC496" s="116"/>
      <c r="AD496" s="116"/>
      <c r="AE496" s="116"/>
      <c r="AF496" s="116"/>
      <c r="AG496" s="116"/>
      <c r="AH496" s="116"/>
      <c r="AI496" s="116"/>
    </row>
    <row r="497" spans="27:35" ht="18">
      <c r="AA497" s="116"/>
      <c r="AB497" s="87"/>
      <c r="AC497" s="116"/>
      <c r="AD497" s="116"/>
      <c r="AE497" s="116"/>
      <c r="AF497" s="116"/>
      <c r="AG497" s="116"/>
      <c r="AH497" s="116"/>
      <c r="AI497" s="116"/>
    </row>
    <row r="498" spans="27:35" ht="18">
      <c r="AA498" s="116"/>
      <c r="AB498" s="87"/>
      <c r="AC498" s="116"/>
      <c r="AD498" s="116"/>
      <c r="AE498" s="116"/>
      <c r="AF498" s="116"/>
      <c r="AG498" s="116"/>
      <c r="AH498" s="116"/>
      <c r="AI498" s="116"/>
    </row>
    <row r="499" spans="27:35" ht="18">
      <c r="AA499" s="116"/>
      <c r="AB499" s="184"/>
      <c r="AC499" s="116"/>
      <c r="AD499" s="116"/>
      <c r="AE499" s="116"/>
      <c r="AF499" s="116"/>
      <c r="AG499" s="116"/>
      <c r="AH499" s="116"/>
      <c r="AI499" s="116"/>
    </row>
    <row r="500" spans="27:35" ht="18">
      <c r="AA500" s="116"/>
      <c r="AB500" s="87"/>
      <c r="AC500" s="116"/>
      <c r="AD500" s="116"/>
      <c r="AE500" s="116"/>
      <c r="AF500" s="116"/>
      <c r="AG500" s="116"/>
      <c r="AH500" s="116"/>
      <c r="AI500" s="116"/>
    </row>
    <row r="501" spans="27:35" ht="18">
      <c r="AA501" s="116"/>
      <c r="AB501" s="87"/>
      <c r="AC501" s="116"/>
      <c r="AD501" s="116"/>
      <c r="AE501" s="116"/>
      <c r="AF501" s="116"/>
      <c r="AG501" s="116"/>
      <c r="AH501" s="116"/>
      <c r="AI501" s="116"/>
    </row>
    <row r="502" spans="27:35" ht="18">
      <c r="AA502" s="116"/>
      <c r="AB502" s="87"/>
      <c r="AC502" s="116"/>
      <c r="AD502" s="116"/>
      <c r="AE502" s="116"/>
      <c r="AF502" s="116"/>
      <c r="AG502" s="116"/>
      <c r="AH502" s="116"/>
      <c r="AI502" s="116"/>
    </row>
    <row r="503" spans="27:35" ht="18">
      <c r="AA503" s="116"/>
      <c r="AB503" s="87"/>
      <c r="AC503" s="116"/>
      <c r="AD503" s="116"/>
      <c r="AE503" s="116"/>
      <c r="AF503" s="116"/>
      <c r="AG503" s="116"/>
      <c r="AH503" s="116"/>
      <c r="AI503" s="116"/>
    </row>
    <row r="504" spans="27:35" ht="18">
      <c r="AA504" s="116"/>
      <c r="AB504" s="87"/>
      <c r="AC504" s="116"/>
      <c r="AD504" s="116"/>
      <c r="AE504" s="116"/>
      <c r="AF504" s="116"/>
      <c r="AG504" s="116"/>
      <c r="AH504" s="116"/>
      <c r="AI504" s="116"/>
    </row>
    <row r="505" spans="27:35" ht="18">
      <c r="AA505" s="116"/>
      <c r="AB505" s="87"/>
      <c r="AC505" s="116"/>
      <c r="AD505" s="116"/>
      <c r="AE505" s="116"/>
      <c r="AF505" s="116"/>
      <c r="AG505" s="116"/>
      <c r="AH505" s="116"/>
      <c r="AI505" s="116"/>
    </row>
    <row r="506" spans="27:35" ht="18">
      <c r="AA506" s="116"/>
      <c r="AB506" s="87"/>
      <c r="AC506" s="116"/>
      <c r="AD506" s="116"/>
      <c r="AE506" s="116"/>
      <c r="AF506" s="116"/>
      <c r="AG506" s="116"/>
      <c r="AH506" s="116"/>
      <c r="AI506" s="116"/>
    </row>
    <row r="507" spans="27:35" ht="18">
      <c r="AA507" s="116"/>
      <c r="AB507" s="87"/>
      <c r="AC507" s="116"/>
      <c r="AD507" s="116"/>
      <c r="AE507" s="116"/>
      <c r="AF507" s="116"/>
      <c r="AG507" s="116"/>
      <c r="AH507" s="116"/>
      <c r="AI507" s="116"/>
    </row>
    <row r="508" spans="27:35" ht="18">
      <c r="AA508" s="116"/>
      <c r="AB508" s="87"/>
      <c r="AC508" s="116"/>
      <c r="AD508" s="116"/>
      <c r="AE508" s="116"/>
      <c r="AF508" s="116"/>
      <c r="AG508" s="116"/>
      <c r="AH508" s="116"/>
      <c r="AI508" s="116"/>
    </row>
    <row r="509" spans="27:35" ht="18">
      <c r="AA509" s="116"/>
      <c r="AB509" s="87"/>
      <c r="AC509" s="116"/>
      <c r="AD509" s="116"/>
      <c r="AE509" s="116"/>
      <c r="AF509" s="116"/>
      <c r="AG509" s="116"/>
      <c r="AH509" s="116"/>
      <c r="AI509" s="116"/>
    </row>
    <row r="510" spans="27:35" ht="18">
      <c r="AA510" s="116"/>
      <c r="AB510" s="184"/>
      <c r="AC510" s="116"/>
      <c r="AD510" s="116"/>
      <c r="AE510" s="116"/>
      <c r="AF510" s="116"/>
      <c r="AG510" s="116"/>
      <c r="AH510" s="116"/>
      <c r="AI510" s="116"/>
    </row>
    <row r="511" spans="27:35" ht="18">
      <c r="AA511" s="116"/>
      <c r="AB511" s="87"/>
      <c r="AC511" s="116"/>
      <c r="AD511" s="116"/>
      <c r="AE511" s="116"/>
      <c r="AF511" s="116"/>
      <c r="AG511" s="116"/>
      <c r="AH511" s="116"/>
      <c r="AI511" s="116"/>
    </row>
    <row r="512" spans="27:35" ht="18">
      <c r="AA512" s="116"/>
      <c r="AB512" s="87"/>
      <c r="AC512" s="116"/>
      <c r="AD512" s="116"/>
      <c r="AE512" s="116"/>
      <c r="AF512" s="116"/>
      <c r="AG512" s="116"/>
      <c r="AH512" s="116"/>
      <c r="AI512" s="116"/>
    </row>
    <row r="513" spans="27:35" ht="18">
      <c r="AA513" s="116"/>
      <c r="AB513" s="87"/>
      <c r="AC513" s="116"/>
      <c r="AD513" s="116"/>
      <c r="AE513" s="116"/>
      <c r="AF513" s="116"/>
      <c r="AG513" s="116"/>
      <c r="AH513" s="116"/>
      <c r="AI513" s="116"/>
    </row>
    <row r="514" spans="27:35" ht="18">
      <c r="AA514" s="116"/>
      <c r="AB514" s="87"/>
      <c r="AC514" s="116"/>
      <c r="AD514" s="116"/>
      <c r="AE514" s="116"/>
      <c r="AF514" s="116"/>
      <c r="AG514" s="116"/>
      <c r="AH514" s="116"/>
      <c r="AI514" s="116"/>
    </row>
    <row r="515" spans="27:35" ht="18">
      <c r="AA515" s="116"/>
      <c r="AB515" s="87"/>
      <c r="AC515" s="116"/>
      <c r="AD515" s="116"/>
      <c r="AE515" s="116"/>
      <c r="AF515" s="116"/>
      <c r="AG515" s="116"/>
      <c r="AH515" s="116"/>
      <c r="AI515" s="116"/>
    </row>
    <row r="516" spans="27:35" ht="18">
      <c r="AA516" s="116"/>
      <c r="AB516" s="87"/>
      <c r="AC516" s="116"/>
      <c r="AD516" s="116"/>
      <c r="AE516" s="116"/>
      <c r="AF516" s="116"/>
      <c r="AG516" s="116"/>
      <c r="AH516" s="116"/>
      <c r="AI516" s="116"/>
    </row>
    <row r="517" spans="27:35" ht="18">
      <c r="AA517" s="116"/>
      <c r="AB517" s="184"/>
      <c r="AC517" s="116"/>
      <c r="AD517" s="116"/>
      <c r="AE517" s="116"/>
      <c r="AF517" s="116"/>
      <c r="AG517" s="116"/>
      <c r="AH517" s="116"/>
      <c r="AI517" s="116"/>
    </row>
    <row r="518" spans="27:35" ht="18">
      <c r="AA518" s="116"/>
      <c r="AB518" s="184"/>
      <c r="AC518" s="116"/>
      <c r="AD518" s="116"/>
      <c r="AE518" s="116"/>
      <c r="AF518" s="116"/>
      <c r="AG518" s="116"/>
      <c r="AH518" s="116"/>
      <c r="AI518" s="116"/>
    </row>
    <row r="519" spans="27:35" ht="18">
      <c r="AA519" s="116"/>
      <c r="AB519" s="87"/>
      <c r="AC519" s="116"/>
      <c r="AD519" s="116"/>
      <c r="AE519" s="116"/>
      <c r="AF519" s="116"/>
      <c r="AG519" s="116"/>
      <c r="AH519" s="116"/>
      <c r="AI519" s="116"/>
    </row>
    <row r="520" spans="27:35" ht="18">
      <c r="AA520" s="116"/>
      <c r="AB520" s="87"/>
      <c r="AC520" s="116"/>
      <c r="AD520" s="116"/>
      <c r="AE520" s="116"/>
      <c r="AF520" s="116"/>
      <c r="AG520" s="116"/>
      <c r="AH520" s="116"/>
      <c r="AI520" s="116"/>
    </row>
    <row r="521" spans="27:35" ht="18">
      <c r="AA521" s="116"/>
      <c r="AB521" s="87"/>
      <c r="AC521" s="116"/>
      <c r="AD521" s="116"/>
      <c r="AE521" s="116"/>
      <c r="AF521" s="116"/>
      <c r="AG521" s="116"/>
      <c r="AH521" s="116"/>
      <c r="AI521" s="116"/>
    </row>
    <row r="522" spans="27:35" ht="18">
      <c r="AA522" s="116"/>
      <c r="AB522" s="87"/>
      <c r="AC522" s="116"/>
      <c r="AD522" s="116"/>
      <c r="AE522" s="116"/>
      <c r="AF522" s="116"/>
      <c r="AG522" s="116"/>
      <c r="AH522" s="116"/>
      <c r="AI522" s="116"/>
    </row>
    <row r="523" spans="27:35" ht="18">
      <c r="AA523" s="116"/>
      <c r="AB523" s="87"/>
      <c r="AC523" s="116"/>
      <c r="AD523" s="116"/>
      <c r="AE523" s="116"/>
      <c r="AF523" s="116"/>
      <c r="AG523" s="116"/>
      <c r="AH523" s="116"/>
      <c r="AI523" s="116"/>
    </row>
    <row r="524" spans="27:35" ht="18">
      <c r="AA524" s="116"/>
      <c r="AB524" s="87"/>
      <c r="AC524" s="116"/>
      <c r="AD524" s="116"/>
      <c r="AE524" s="116"/>
      <c r="AF524" s="116"/>
      <c r="AG524" s="116"/>
      <c r="AH524" s="116"/>
      <c r="AI524" s="116"/>
    </row>
    <row r="525" spans="27:35" ht="18">
      <c r="AA525" s="116"/>
      <c r="AB525" s="87"/>
      <c r="AC525" s="116"/>
      <c r="AD525" s="116"/>
      <c r="AE525" s="116"/>
      <c r="AF525" s="116"/>
      <c r="AG525" s="116"/>
      <c r="AH525" s="116"/>
      <c r="AI525" s="116"/>
    </row>
    <row r="526" spans="27:35" ht="18">
      <c r="AA526" s="116"/>
      <c r="AB526" s="184"/>
      <c r="AC526" s="116"/>
      <c r="AD526" s="116"/>
      <c r="AE526" s="116"/>
      <c r="AF526" s="116"/>
      <c r="AG526" s="116"/>
      <c r="AH526" s="116"/>
      <c r="AI526" s="116"/>
    </row>
    <row r="527" spans="27:35" ht="18">
      <c r="AA527" s="116"/>
      <c r="AB527" s="184"/>
      <c r="AC527" s="116"/>
      <c r="AD527" s="116"/>
      <c r="AE527" s="116"/>
      <c r="AF527" s="116"/>
      <c r="AG527" s="116"/>
      <c r="AH527" s="116"/>
      <c r="AI527" s="116"/>
    </row>
    <row r="528" spans="27:35" ht="18">
      <c r="AA528" s="116"/>
      <c r="AB528" s="87"/>
      <c r="AC528" s="116"/>
      <c r="AD528" s="116"/>
      <c r="AE528" s="116"/>
      <c r="AF528" s="116"/>
      <c r="AG528" s="116"/>
      <c r="AH528" s="116"/>
      <c r="AI528" s="116"/>
    </row>
    <row r="529" spans="27:35" ht="18">
      <c r="AA529" s="116"/>
      <c r="AB529" s="87"/>
      <c r="AC529" s="116"/>
      <c r="AD529" s="116"/>
      <c r="AE529" s="116"/>
      <c r="AF529" s="116"/>
      <c r="AG529" s="116"/>
      <c r="AH529" s="116"/>
      <c r="AI529" s="116"/>
    </row>
    <row r="530" spans="27:35" ht="18">
      <c r="AA530" s="116"/>
      <c r="AB530" s="87"/>
      <c r="AC530" s="116"/>
      <c r="AD530" s="116"/>
      <c r="AE530" s="116"/>
      <c r="AF530" s="116"/>
      <c r="AG530" s="116"/>
      <c r="AH530" s="116"/>
      <c r="AI530" s="116"/>
    </row>
    <row r="531" spans="27:35" ht="18">
      <c r="AA531" s="116"/>
      <c r="AB531" s="87"/>
      <c r="AC531" s="116"/>
      <c r="AD531" s="116"/>
      <c r="AE531" s="116"/>
      <c r="AF531" s="116"/>
      <c r="AG531" s="116"/>
      <c r="AH531" s="116"/>
      <c r="AI531" s="116"/>
    </row>
    <row r="532" spans="27:35" ht="18">
      <c r="AA532" s="116"/>
      <c r="AB532" s="87"/>
      <c r="AC532" s="116"/>
      <c r="AD532" s="116"/>
      <c r="AE532" s="116"/>
      <c r="AF532" s="116"/>
      <c r="AG532" s="116"/>
      <c r="AH532" s="116"/>
      <c r="AI532" s="116"/>
    </row>
    <row r="533" spans="27:35" ht="18">
      <c r="AA533" s="116"/>
      <c r="AB533" s="87"/>
      <c r="AC533" s="116"/>
      <c r="AD533" s="116"/>
      <c r="AE533" s="116"/>
      <c r="AF533" s="116"/>
      <c r="AG533" s="116"/>
      <c r="AH533" s="116"/>
      <c r="AI533" s="116"/>
    </row>
    <row r="534" spans="27:35" ht="18">
      <c r="AA534" s="116"/>
      <c r="AB534" s="87"/>
      <c r="AC534" s="116"/>
      <c r="AD534" s="116"/>
      <c r="AE534" s="116"/>
      <c r="AF534" s="116"/>
      <c r="AG534" s="116"/>
      <c r="AH534" s="116"/>
      <c r="AI534" s="116"/>
    </row>
    <row r="535" spans="27:35" ht="18">
      <c r="AA535" s="116"/>
      <c r="AB535" s="87"/>
      <c r="AC535" s="116"/>
      <c r="AD535" s="116"/>
      <c r="AE535" s="116"/>
      <c r="AF535" s="116"/>
      <c r="AG535" s="116"/>
      <c r="AH535" s="116"/>
      <c r="AI535" s="116"/>
    </row>
    <row r="536" spans="27:35" ht="18">
      <c r="AA536" s="116"/>
      <c r="AB536" s="184"/>
      <c r="AC536" s="116"/>
      <c r="AD536" s="116"/>
      <c r="AE536" s="116"/>
      <c r="AF536" s="116"/>
      <c r="AG536" s="116"/>
      <c r="AH536" s="116"/>
      <c r="AI536" s="116"/>
    </row>
    <row r="537" spans="27:35" ht="18">
      <c r="AA537" s="116"/>
      <c r="AB537" s="184"/>
      <c r="AC537" s="116"/>
      <c r="AD537" s="116"/>
      <c r="AE537" s="116"/>
      <c r="AF537" s="116"/>
      <c r="AG537" s="116"/>
      <c r="AH537" s="116"/>
      <c r="AI537" s="116"/>
    </row>
    <row r="538" spans="27:35" ht="18">
      <c r="AA538" s="116"/>
      <c r="AB538" s="87"/>
      <c r="AC538" s="116"/>
      <c r="AD538" s="116"/>
      <c r="AE538" s="116"/>
      <c r="AF538" s="116"/>
      <c r="AG538" s="116"/>
      <c r="AH538" s="116"/>
      <c r="AI538" s="116"/>
    </row>
    <row r="539" spans="27:35" ht="18">
      <c r="AA539" s="116"/>
      <c r="AB539" s="87"/>
      <c r="AC539" s="116"/>
      <c r="AD539" s="116"/>
      <c r="AE539" s="116"/>
      <c r="AF539" s="116"/>
      <c r="AG539" s="116"/>
      <c r="AH539" s="116"/>
      <c r="AI539" s="116"/>
    </row>
    <row r="540" spans="27:35" ht="18">
      <c r="AA540" s="116"/>
      <c r="AB540" s="87"/>
      <c r="AC540" s="116"/>
      <c r="AD540" s="116"/>
      <c r="AE540" s="116"/>
      <c r="AF540" s="116"/>
      <c r="AG540" s="116"/>
      <c r="AH540" s="116"/>
      <c r="AI540" s="116"/>
    </row>
    <row r="541" spans="27:35" ht="18">
      <c r="AA541" s="116"/>
      <c r="AB541" s="184"/>
      <c r="AC541" s="116"/>
      <c r="AD541" s="116"/>
      <c r="AE541" s="116"/>
      <c r="AF541" s="116"/>
      <c r="AG541" s="116"/>
      <c r="AH541" s="116"/>
      <c r="AI541" s="116"/>
    </row>
    <row r="542" spans="27:35" ht="18">
      <c r="AA542" s="116"/>
      <c r="AB542" s="184"/>
      <c r="AC542" s="116"/>
      <c r="AD542" s="116"/>
      <c r="AE542" s="116"/>
      <c r="AF542" s="116"/>
      <c r="AG542" s="116"/>
      <c r="AH542" s="116"/>
      <c r="AI542" s="116"/>
    </row>
    <row r="543" spans="27:35" ht="18">
      <c r="AA543" s="116"/>
      <c r="AB543" s="87"/>
      <c r="AC543" s="116"/>
      <c r="AD543" s="116"/>
      <c r="AE543" s="116"/>
      <c r="AF543" s="116"/>
      <c r="AG543" s="116"/>
      <c r="AH543" s="116"/>
      <c r="AI543" s="116"/>
    </row>
    <row r="544" spans="27:35" ht="18">
      <c r="AA544" s="116"/>
      <c r="AB544" s="87"/>
      <c r="AC544" s="116"/>
      <c r="AD544" s="116"/>
      <c r="AE544" s="116"/>
      <c r="AF544" s="116"/>
      <c r="AG544" s="116"/>
      <c r="AH544" s="116"/>
      <c r="AI544" s="116"/>
    </row>
    <row r="545" spans="27:35" ht="18">
      <c r="AA545" s="116"/>
      <c r="AB545" s="87"/>
      <c r="AC545" s="116"/>
      <c r="AD545" s="116"/>
      <c r="AE545" s="116"/>
      <c r="AF545" s="116"/>
      <c r="AG545" s="116"/>
      <c r="AH545" s="116"/>
      <c r="AI545" s="116"/>
    </row>
    <row r="546" spans="27:35" ht="18">
      <c r="AA546" s="116"/>
      <c r="AB546" s="87"/>
      <c r="AC546" s="116"/>
      <c r="AD546" s="116"/>
      <c r="AE546" s="116"/>
      <c r="AF546" s="116"/>
      <c r="AG546" s="116"/>
      <c r="AH546" s="116"/>
      <c r="AI546" s="116"/>
    </row>
    <row r="547" spans="27:35" ht="18">
      <c r="AA547" s="116"/>
      <c r="AB547" s="184"/>
      <c r="AC547" s="116"/>
      <c r="AD547" s="116"/>
      <c r="AE547" s="116"/>
      <c r="AF547" s="116"/>
      <c r="AG547" s="116"/>
      <c r="AH547" s="116"/>
      <c r="AI547" s="116"/>
    </row>
    <row r="548" spans="27:35" ht="18">
      <c r="AA548" s="116"/>
      <c r="AB548" s="87"/>
      <c r="AC548" s="116"/>
      <c r="AD548" s="116"/>
      <c r="AE548" s="116"/>
      <c r="AF548" s="116"/>
      <c r="AG548" s="116"/>
      <c r="AH548" s="116"/>
      <c r="AI548" s="116"/>
    </row>
    <row r="549" spans="27:35" ht="18">
      <c r="AA549" s="116"/>
      <c r="AB549" s="87"/>
      <c r="AC549" s="116"/>
      <c r="AD549" s="116"/>
      <c r="AE549" s="116"/>
      <c r="AF549" s="116"/>
      <c r="AG549" s="116"/>
      <c r="AH549" s="116"/>
      <c r="AI549" s="116"/>
    </row>
    <row r="550" spans="27:35" ht="18">
      <c r="AA550" s="116"/>
      <c r="AB550" s="87"/>
      <c r="AC550" s="116"/>
      <c r="AD550" s="116"/>
      <c r="AE550" s="116"/>
      <c r="AF550" s="116"/>
      <c r="AG550" s="116"/>
      <c r="AH550" s="116"/>
      <c r="AI550" s="116"/>
    </row>
    <row r="551" spans="27:35" ht="18">
      <c r="AA551" s="116"/>
      <c r="AB551" s="87"/>
      <c r="AC551" s="116"/>
      <c r="AD551" s="116"/>
      <c r="AE551" s="116"/>
      <c r="AF551" s="116"/>
      <c r="AG551" s="116"/>
      <c r="AH551" s="116"/>
      <c r="AI551" s="116"/>
    </row>
    <row r="552" spans="27:35" ht="18">
      <c r="AA552" s="116"/>
      <c r="AB552" s="87"/>
      <c r="AC552" s="116"/>
      <c r="AD552" s="116"/>
      <c r="AE552" s="116"/>
      <c r="AF552" s="116"/>
      <c r="AG552" s="116"/>
      <c r="AH552" s="116"/>
      <c r="AI552" s="116"/>
    </row>
    <row r="553" spans="27:35" ht="18">
      <c r="AA553" s="116"/>
      <c r="AB553" s="87"/>
      <c r="AC553" s="116"/>
      <c r="AD553" s="116"/>
      <c r="AE553" s="116"/>
      <c r="AF553" s="116"/>
      <c r="AG553" s="116"/>
      <c r="AH553" s="116"/>
      <c r="AI553" s="116"/>
    </row>
    <row r="554" spans="27:35" ht="18">
      <c r="AA554" s="116"/>
      <c r="AB554" s="87"/>
      <c r="AC554" s="116"/>
      <c r="AD554" s="116"/>
      <c r="AE554" s="116"/>
      <c r="AF554" s="116"/>
      <c r="AG554" s="116"/>
      <c r="AH554" s="116"/>
      <c r="AI554" s="116"/>
    </row>
    <row r="555" spans="27:35" ht="18">
      <c r="AA555" s="116"/>
      <c r="AB555" s="87"/>
      <c r="AC555" s="116"/>
      <c r="AD555" s="116"/>
      <c r="AE555" s="116"/>
      <c r="AF555" s="116"/>
      <c r="AG555" s="116"/>
      <c r="AH555" s="116"/>
      <c r="AI555" s="116"/>
    </row>
    <row r="556" spans="27:35" ht="18">
      <c r="AA556" s="116"/>
      <c r="AB556" s="87"/>
      <c r="AC556" s="116"/>
      <c r="AD556" s="116"/>
      <c r="AE556" s="116"/>
      <c r="AF556" s="116"/>
      <c r="AG556" s="116"/>
      <c r="AH556" s="116"/>
      <c r="AI556" s="116"/>
    </row>
    <row r="557" spans="27:35" ht="18">
      <c r="AA557" s="116"/>
      <c r="AB557" s="87"/>
      <c r="AC557" s="116"/>
      <c r="AD557" s="116"/>
      <c r="AE557" s="116"/>
      <c r="AF557" s="116"/>
      <c r="AG557" s="116"/>
      <c r="AH557" s="116"/>
      <c r="AI557" s="116"/>
    </row>
    <row r="558" spans="27:35" ht="18">
      <c r="AA558" s="116"/>
      <c r="AB558" s="87"/>
      <c r="AC558" s="116"/>
      <c r="AD558" s="116"/>
      <c r="AE558" s="116"/>
      <c r="AF558" s="116"/>
      <c r="AG558" s="116"/>
      <c r="AH558" s="116"/>
      <c r="AI558" s="116"/>
    </row>
    <row r="559" spans="27:35" ht="18">
      <c r="AA559" s="116"/>
      <c r="AB559" s="87"/>
      <c r="AC559" s="116"/>
      <c r="AD559" s="116"/>
      <c r="AE559" s="116"/>
      <c r="AF559" s="116"/>
      <c r="AG559" s="116"/>
      <c r="AH559" s="116"/>
      <c r="AI559" s="116"/>
    </row>
    <row r="560" spans="27:35" ht="18">
      <c r="AA560" s="116"/>
      <c r="AB560" s="184"/>
      <c r="AC560" s="116"/>
      <c r="AD560" s="116"/>
      <c r="AE560" s="116"/>
      <c r="AF560" s="116"/>
      <c r="AG560" s="116"/>
      <c r="AH560" s="116"/>
      <c r="AI560" s="116"/>
    </row>
    <row r="561" spans="27:35" ht="18">
      <c r="AA561" s="116"/>
      <c r="AB561" s="184"/>
      <c r="AC561" s="116"/>
      <c r="AD561" s="116"/>
      <c r="AE561" s="116"/>
      <c r="AF561" s="116"/>
      <c r="AG561" s="116"/>
      <c r="AH561" s="116"/>
      <c r="AI561" s="116"/>
    </row>
    <row r="562" spans="27:35" ht="18">
      <c r="AA562" s="116"/>
      <c r="AB562" s="87"/>
      <c r="AC562" s="116"/>
      <c r="AD562" s="116"/>
      <c r="AE562" s="116"/>
      <c r="AF562" s="116"/>
      <c r="AG562" s="116"/>
      <c r="AH562" s="116"/>
      <c r="AI562" s="116"/>
    </row>
    <row r="563" spans="27:35" ht="18">
      <c r="AA563" s="116"/>
      <c r="AB563" s="87"/>
      <c r="AC563" s="116"/>
      <c r="AD563" s="116"/>
      <c r="AE563" s="116"/>
      <c r="AF563" s="116"/>
      <c r="AG563" s="116"/>
      <c r="AH563" s="116"/>
      <c r="AI563" s="116"/>
    </row>
    <row r="564" spans="27:35" ht="18">
      <c r="AA564" s="116"/>
      <c r="AB564" s="87"/>
      <c r="AC564" s="116"/>
      <c r="AD564" s="116"/>
      <c r="AE564" s="116"/>
      <c r="AF564" s="116"/>
      <c r="AG564" s="116"/>
      <c r="AH564" s="116"/>
      <c r="AI564" s="116"/>
    </row>
    <row r="565" spans="27:35" ht="18">
      <c r="AA565" s="116"/>
      <c r="AB565" s="184"/>
      <c r="AC565" s="116"/>
      <c r="AD565" s="116"/>
      <c r="AE565" s="116"/>
      <c r="AF565" s="116"/>
      <c r="AG565" s="116"/>
      <c r="AH565" s="116"/>
      <c r="AI565" s="116"/>
    </row>
    <row r="566" spans="27:35" ht="18">
      <c r="AA566" s="116"/>
      <c r="AB566" s="184"/>
      <c r="AC566" s="116"/>
      <c r="AD566" s="116"/>
      <c r="AE566" s="116"/>
      <c r="AF566" s="116"/>
      <c r="AG566" s="116"/>
      <c r="AH566" s="116"/>
      <c r="AI566" s="116"/>
    </row>
    <row r="567" spans="27:35" ht="18">
      <c r="AA567" s="116"/>
      <c r="AB567" s="87"/>
      <c r="AC567" s="116"/>
      <c r="AD567" s="116"/>
      <c r="AE567" s="116"/>
      <c r="AF567" s="116"/>
      <c r="AG567" s="116"/>
      <c r="AH567" s="116"/>
      <c r="AI567" s="116"/>
    </row>
    <row r="568" spans="27:35" ht="18">
      <c r="AA568" s="116"/>
      <c r="AB568" s="87"/>
      <c r="AC568" s="116"/>
      <c r="AD568" s="116"/>
      <c r="AE568" s="116"/>
      <c r="AF568" s="116"/>
      <c r="AG568" s="116"/>
      <c r="AH568" s="116"/>
      <c r="AI568" s="116"/>
    </row>
    <row r="569" spans="27:35" ht="18">
      <c r="AA569" s="116"/>
      <c r="AB569" s="87"/>
      <c r="AC569" s="116"/>
      <c r="AD569" s="116"/>
      <c r="AE569" s="116"/>
      <c r="AF569" s="116"/>
      <c r="AG569" s="116"/>
      <c r="AH569" s="116"/>
      <c r="AI569" s="116"/>
    </row>
    <row r="570" spans="27:35" ht="18">
      <c r="AA570" s="116"/>
      <c r="AB570" s="87"/>
      <c r="AC570" s="116"/>
      <c r="AD570" s="116"/>
      <c r="AE570" s="116"/>
      <c r="AF570" s="116"/>
      <c r="AG570" s="116"/>
      <c r="AH570" s="116"/>
      <c r="AI570" s="116"/>
    </row>
    <row r="571" spans="27:35" ht="18">
      <c r="AA571" s="116"/>
      <c r="AB571" s="87"/>
      <c r="AC571" s="116"/>
      <c r="AD571" s="116"/>
      <c r="AE571" s="116"/>
      <c r="AF571" s="116"/>
      <c r="AG571" s="116"/>
      <c r="AH571" s="116"/>
      <c r="AI571" s="116"/>
    </row>
    <row r="572" spans="27:35" ht="18">
      <c r="AA572" s="116"/>
      <c r="AB572" s="87"/>
      <c r="AC572" s="116"/>
      <c r="AD572" s="116"/>
      <c r="AE572" s="116"/>
      <c r="AF572" s="116"/>
      <c r="AG572" s="116"/>
      <c r="AH572" s="116"/>
      <c r="AI572" s="116"/>
    </row>
    <row r="573" spans="27:35" ht="18">
      <c r="AA573" s="116"/>
      <c r="AB573" s="184"/>
      <c r="AC573" s="116"/>
      <c r="AD573" s="116"/>
      <c r="AE573" s="116"/>
      <c r="AF573" s="116"/>
      <c r="AG573" s="116"/>
      <c r="AH573" s="116"/>
      <c r="AI573" s="116"/>
    </row>
    <row r="574" spans="27:35" ht="18">
      <c r="AA574" s="116"/>
      <c r="AB574" s="184"/>
      <c r="AC574" s="116"/>
      <c r="AD574" s="116"/>
      <c r="AE574" s="116"/>
      <c r="AF574" s="116"/>
      <c r="AG574" s="116"/>
      <c r="AH574" s="116"/>
      <c r="AI574" s="116"/>
    </row>
    <row r="575" spans="27:35" ht="18">
      <c r="AA575" s="116"/>
      <c r="AB575" s="87"/>
      <c r="AC575" s="116"/>
      <c r="AD575" s="116"/>
      <c r="AE575" s="116"/>
      <c r="AF575" s="116"/>
      <c r="AG575" s="116"/>
      <c r="AH575" s="116"/>
      <c r="AI575" s="116"/>
    </row>
    <row r="576" spans="27:35" ht="18">
      <c r="AA576" s="116"/>
      <c r="AB576" s="87"/>
      <c r="AC576" s="116"/>
      <c r="AD576" s="116"/>
      <c r="AE576" s="116"/>
      <c r="AF576" s="116"/>
      <c r="AG576" s="116"/>
      <c r="AH576" s="116"/>
      <c r="AI576" s="116"/>
    </row>
    <row r="577" spans="27:35" ht="18">
      <c r="AA577" s="116"/>
      <c r="AB577" s="87"/>
      <c r="AC577" s="116"/>
      <c r="AD577" s="116"/>
      <c r="AE577" s="116"/>
      <c r="AF577" s="116"/>
      <c r="AG577" s="116"/>
      <c r="AH577" s="116"/>
      <c r="AI577" s="116"/>
    </row>
    <row r="578" spans="27:35" ht="18">
      <c r="AA578" s="116"/>
      <c r="AB578" s="87"/>
      <c r="AC578" s="116"/>
      <c r="AD578" s="116"/>
      <c r="AE578" s="116"/>
      <c r="AF578" s="116"/>
      <c r="AG578" s="116"/>
      <c r="AH578" s="116"/>
      <c r="AI578" s="116"/>
    </row>
    <row r="579" spans="27:35" ht="18">
      <c r="AA579" s="116"/>
      <c r="AB579" s="87"/>
      <c r="AC579" s="116"/>
      <c r="AD579" s="116"/>
      <c r="AE579" s="116"/>
      <c r="AF579" s="116"/>
      <c r="AG579" s="116"/>
      <c r="AH579" s="116"/>
      <c r="AI579" s="116"/>
    </row>
    <row r="580" spans="27:35" ht="18">
      <c r="AA580" s="116"/>
      <c r="AB580" s="87"/>
      <c r="AC580" s="116"/>
      <c r="AD580" s="116"/>
      <c r="AE580" s="116"/>
      <c r="AF580" s="116"/>
      <c r="AG580" s="116"/>
      <c r="AH580" s="116"/>
      <c r="AI580" s="116"/>
    </row>
    <row r="581" spans="27:35" ht="18">
      <c r="AA581" s="116"/>
      <c r="AB581" s="87"/>
      <c r="AC581" s="116"/>
      <c r="AD581" s="116"/>
      <c r="AE581" s="116"/>
      <c r="AF581" s="116"/>
      <c r="AG581" s="116"/>
      <c r="AH581" s="116"/>
      <c r="AI581" s="116"/>
    </row>
    <row r="582" spans="27:35" ht="18">
      <c r="AA582" s="116"/>
      <c r="AB582" s="184"/>
      <c r="AC582" s="116"/>
      <c r="AD582" s="116"/>
      <c r="AE582" s="116"/>
      <c r="AF582" s="116"/>
      <c r="AG582" s="116"/>
      <c r="AH582" s="116"/>
      <c r="AI582" s="116"/>
    </row>
    <row r="583" spans="27:35" ht="18">
      <c r="AA583" s="116"/>
      <c r="AB583" s="184"/>
      <c r="AC583" s="116"/>
      <c r="AD583" s="116"/>
      <c r="AE583" s="116"/>
      <c r="AF583" s="116"/>
      <c r="AG583" s="116"/>
      <c r="AH583" s="116"/>
      <c r="AI583" s="116"/>
    </row>
    <row r="584" spans="27:35" ht="18">
      <c r="AA584" s="116"/>
      <c r="AB584" s="87"/>
      <c r="AC584" s="116"/>
      <c r="AD584" s="116"/>
      <c r="AE584" s="116"/>
      <c r="AF584" s="116"/>
      <c r="AG584" s="116"/>
      <c r="AH584" s="116"/>
      <c r="AI584" s="116"/>
    </row>
    <row r="585" spans="27:35" ht="18">
      <c r="AA585" s="116"/>
      <c r="AB585" s="87"/>
      <c r="AC585" s="116"/>
      <c r="AD585" s="116"/>
      <c r="AE585" s="116"/>
      <c r="AF585" s="116"/>
      <c r="AG585" s="116"/>
      <c r="AH585" s="116"/>
      <c r="AI585" s="116"/>
    </row>
    <row r="586" spans="27:35" ht="18">
      <c r="AA586" s="116"/>
      <c r="AB586" s="87"/>
      <c r="AC586" s="116"/>
      <c r="AD586" s="116"/>
      <c r="AE586" s="116"/>
      <c r="AF586" s="116"/>
      <c r="AG586" s="116"/>
      <c r="AH586" s="116"/>
      <c r="AI586" s="116"/>
    </row>
    <row r="587" spans="27:35" ht="18">
      <c r="AA587" s="116"/>
      <c r="AB587" s="87"/>
      <c r="AC587" s="116"/>
      <c r="AD587" s="116"/>
      <c r="AE587" s="116"/>
      <c r="AF587" s="116"/>
      <c r="AG587" s="116"/>
      <c r="AH587" s="116"/>
      <c r="AI587" s="116"/>
    </row>
    <row r="588" spans="27:35" ht="18">
      <c r="AA588" s="116"/>
      <c r="AB588" s="87"/>
      <c r="AC588" s="116"/>
      <c r="AD588" s="116"/>
      <c r="AE588" s="116"/>
      <c r="AF588" s="116"/>
      <c r="AG588" s="116"/>
      <c r="AH588" s="116"/>
      <c r="AI588" s="116"/>
    </row>
    <row r="589" spans="27:35" ht="18">
      <c r="AA589" s="116"/>
      <c r="AB589" s="184"/>
      <c r="AC589" s="116"/>
      <c r="AD589" s="116"/>
      <c r="AE589" s="116"/>
      <c r="AF589" s="116"/>
      <c r="AG589" s="116"/>
      <c r="AH589" s="116"/>
      <c r="AI589" s="116"/>
    </row>
    <row r="590" spans="27:35" ht="18">
      <c r="AA590" s="116"/>
      <c r="AB590" s="184"/>
      <c r="AC590" s="116"/>
      <c r="AD590" s="116"/>
      <c r="AE590" s="116"/>
      <c r="AF590" s="116"/>
      <c r="AG590" s="116"/>
      <c r="AH590" s="116"/>
      <c r="AI590" s="116"/>
    </row>
    <row r="591" spans="27:35" ht="18">
      <c r="AA591" s="116"/>
      <c r="AB591" s="87"/>
      <c r="AC591" s="116"/>
      <c r="AD591" s="116"/>
      <c r="AE591" s="116"/>
      <c r="AF591" s="116"/>
      <c r="AG591" s="116"/>
      <c r="AH591" s="116"/>
      <c r="AI591" s="116"/>
    </row>
    <row r="592" spans="27:35" ht="18">
      <c r="AA592" s="116"/>
      <c r="AB592" s="87"/>
      <c r="AC592" s="116"/>
      <c r="AD592" s="116"/>
      <c r="AE592" s="116"/>
      <c r="AF592" s="116"/>
      <c r="AG592" s="116"/>
      <c r="AH592" s="116"/>
      <c r="AI592" s="116"/>
    </row>
    <row r="593" spans="27:35" ht="18">
      <c r="AA593" s="116"/>
      <c r="AB593" s="87"/>
      <c r="AC593" s="116"/>
      <c r="AD593" s="116"/>
      <c r="AE593" s="116"/>
      <c r="AF593" s="116"/>
      <c r="AG593" s="116"/>
      <c r="AH593" s="116"/>
      <c r="AI593" s="116"/>
    </row>
    <row r="594" spans="27:35" ht="18">
      <c r="AA594" s="116"/>
      <c r="AB594" s="87"/>
      <c r="AC594" s="116"/>
      <c r="AD594" s="116"/>
      <c r="AE594" s="116"/>
      <c r="AF594" s="116"/>
      <c r="AG594" s="116"/>
      <c r="AH594" s="116"/>
      <c r="AI594" s="116"/>
    </row>
    <row r="595" spans="27:35" ht="18">
      <c r="AA595" s="116"/>
      <c r="AB595" s="87"/>
      <c r="AC595" s="116"/>
      <c r="AD595" s="116"/>
      <c r="AE595" s="116"/>
      <c r="AF595" s="116"/>
      <c r="AG595" s="116"/>
      <c r="AH595" s="116"/>
      <c r="AI595" s="116"/>
    </row>
    <row r="596" spans="27:35" ht="18">
      <c r="AA596" s="116"/>
      <c r="AB596" s="87"/>
      <c r="AC596" s="116"/>
      <c r="AD596" s="116"/>
      <c r="AE596" s="116"/>
      <c r="AF596" s="116"/>
      <c r="AG596" s="116"/>
      <c r="AH596" s="116"/>
      <c r="AI596" s="116"/>
    </row>
    <row r="597" spans="27:35" ht="18">
      <c r="AA597" s="116"/>
      <c r="AB597" s="87"/>
      <c r="AC597" s="116"/>
      <c r="AD597" s="116"/>
      <c r="AE597" s="116"/>
      <c r="AF597" s="116"/>
      <c r="AG597" s="116"/>
      <c r="AH597" s="116"/>
      <c r="AI597" s="116"/>
    </row>
    <row r="598" spans="27:35" ht="18">
      <c r="AA598" s="116"/>
      <c r="AB598" s="87"/>
      <c r="AC598" s="116"/>
      <c r="AD598" s="116"/>
      <c r="AE598" s="116"/>
      <c r="AF598" s="116"/>
      <c r="AG598" s="116"/>
      <c r="AH598" s="116"/>
      <c r="AI598" s="116"/>
    </row>
    <row r="599" spans="27:35" ht="18">
      <c r="AA599" s="116"/>
      <c r="AB599" s="87"/>
      <c r="AC599" s="116"/>
      <c r="AD599" s="116"/>
      <c r="AE599" s="116"/>
      <c r="AF599" s="116"/>
      <c r="AG599" s="116"/>
      <c r="AH599" s="116"/>
      <c r="AI599" s="116"/>
    </row>
    <row r="600" spans="27:35" ht="18">
      <c r="AA600" s="116"/>
      <c r="AB600" s="184"/>
      <c r="AC600" s="116"/>
      <c r="AD600" s="116"/>
      <c r="AE600" s="116"/>
      <c r="AF600" s="116"/>
      <c r="AG600" s="116"/>
      <c r="AH600" s="116"/>
      <c r="AI600" s="116"/>
    </row>
    <row r="601" spans="27:35" ht="18">
      <c r="AA601" s="116"/>
      <c r="AB601" s="184"/>
      <c r="AC601" s="116"/>
      <c r="AD601" s="116"/>
      <c r="AE601" s="116"/>
      <c r="AF601" s="116"/>
      <c r="AG601" s="116"/>
      <c r="AH601" s="116"/>
      <c r="AI601" s="116"/>
    </row>
    <row r="602" spans="27:35" ht="18">
      <c r="AA602" s="116"/>
      <c r="AB602" s="87"/>
      <c r="AC602" s="116"/>
      <c r="AD602" s="116"/>
      <c r="AE602" s="116"/>
      <c r="AF602" s="116"/>
      <c r="AG602" s="116"/>
      <c r="AH602" s="116"/>
      <c r="AI602" s="116"/>
    </row>
    <row r="603" spans="27:35" ht="18">
      <c r="AA603" s="116"/>
      <c r="AB603" s="87"/>
      <c r="AC603" s="116"/>
      <c r="AD603" s="116"/>
      <c r="AE603" s="116"/>
      <c r="AF603" s="116"/>
      <c r="AG603" s="116"/>
      <c r="AH603" s="116"/>
      <c r="AI603" s="116"/>
    </row>
    <row r="604" spans="27:35" ht="18">
      <c r="AA604" s="116"/>
      <c r="AB604" s="87"/>
      <c r="AC604" s="116"/>
      <c r="AD604" s="116"/>
      <c r="AE604" s="116"/>
      <c r="AF604" s="116"/>
      <c r="AG604" s="116"/>
      <c r="AH604" s="116"/>
      <c r="AI604" s="116"/>
    </row>
    <row r="605" spans="27:35" ht="18">
      <c r="AA605" s="116"/>
      <c r="AB605" s="87"/>
      <c r="AC605" s="116"/>
      <c r="AD605" s="116"/>
      <c r="AE605" s="116"/>
      <c r="AF605" s="116"/>
      <c r="AG605" s="116"/>
      <c r="AH605" s="116"/>
      <c r="AI605" s="116"/>
    </row>
    <row r="606" spans="27:35" ht="18">
      <c r="AA606" s="116"/>
      <c r="AB606" s="87"/>
      <c r="AC606" s="116"/>
      <c r="AD606" s="116"/>
      <c r="AE606" s="116"/>
      <c r="AF606" s="116"/>
      <c r="AG606" s="116"/>
      <c r="AH606" s="116"/>
      <c r="AI606" s="116"/>
    </row>
    <row r="607" spans="27:35" ht="18">
      <c r="AA607" s="116"/>
      <c r="AB607" s="87"/>
      <c r="AC607" s="116"/>
      <c r="AD607" s="116"/>
      <c r="AE607" s="116"/>
      <c r="AF607" s="116"/>
      <c r="AG607" s="116"/>
      <c r="AH607" s="116"/>
      <c r="AI607" s="116"/>
    </row>
    <row r="608" spans="27:35" ht="18">
      <c r="AA608" s="116"/>
      <c r="AB608" s="87"/>
      <c r="AC608" s="116"/>
      <c r="AD608" s="116"/>
      <c r="AE608" s="116"/>
      <c r="AF608" s="116"/>
      <c r="AG608" s="116"/>
      <c r="AH608" s="116"/>
      <c r="AI608" s="116"/>
    </row>
    <row r="609" spans="27:35" ht="18">
      <c r="AA609" s="116"/>
      <c r="AB609" s="87"/>
      <c r="AC609" s="116"/>
      <c r="AD609" s="116"/>
      <c r="AE609" s="116"/>
      <c r="AF609" s="116"/>
      <c r="AG609" s="116"/>
      <c r="AH609" s="116"/>
      <c r="AI609" s="116"/>
    </row>
    <row r="610" spans="27:35" ht="18">
      <c r="AA610" s="116"/>
      <c r="AB610" s="87"/>
      <c r="AC610" s="116"/>
      <c r="AD610" s="116"/>
      <c r="AE610" s="116"/>
      <c r="AF610" s="116"/>
      <c r="AG610" s="116"/>
      <c r="AH610" s="116"/>
      <c r="AI610" s="116"/>
    </row>
    <row r="611" spans="27:35" ht="18">
      <c r="AA611" s="116"/>
      <c r="AB611" s="87"/>
      <c r="AC611" s="116"/>
      <c r="AD611" s="116"/>
      <c r="AE611" s="116"/>
      <c r="AF611" s="116"/>
      <c r="AG611" s="116"/>
      <c r="AH611" s="116"/>
      <c r="AI611" s="116"/>
    </row>
    <row r="612" spans="27:35" ht="18">
      <c r="AA612" s="116"/>
      <c r="AB612" s="87"/>
      <c r="AC612" s="116"/>
      <c r="AD612" s="116"/>
      <c r="AE612" s="116"/>
      <c r="AF612" s="116"/>
      <c r="AG612" s="116"/>
      <c r="AH612" s="116"/>
      <c r="AI612" s="116"/>
    </row>
    <row r="613" spans="27:35" ht="18">
      <c r="AA613" s="116"/>
      <c r="AB613" s="87"/>
      <c r="AC613" s="116"/>
      <c r="AD613" s="116"/>
      <c r="AE613" s="116"/>
      <c r="AF613" s="116"/>
      <c r="AG613" s="116"/>
      <c r="AH613" s="116"/>
      <c r="AI613" s="116"/>
    </row>
    <row r="614" spans="27:35" ht="18">
      <c r="AA614" s="116"/>
      <c r="AB614" s="87"/>
      <c r="AC614" s="116"/>
      <c r="AD614" s="116"/>
      <c r="AE614" s="116"/>
      <c r="AF614" s="116"/>
      <c r="AG614" s="116"/>
      <c r="AH614" s="116"/>
      <c r="AI614" s="116"/>
    </row>
    <row r="615" spans="27:35" ht="18">
      <c r="AA615" s="116"/>
      <c r="AB615" s="87"/>
      <c r="AC615" s="116"/>
      <c r="AD615" s="116"/>
      <c r="AE615" s="116"/>
      <c r="AF615" s="116"/>
      <c r="AG615" s="116"/>
      <c r="AH615" s="116"/>
      <c r="AI615" s="116"/>
    </row>
    <row r="616" spans="27:35" ht="18">
      <c r="AA616" s="116"/>
      <c r="AB616" s="87"/>
      <c r="AC616" s="116"/>
      <c r="AD616" s="116"/>
      <c r="AE616" s="116"/>
      <c r="AF616" s="116"/>
      <c r="AG616" s="116"/>
      <c r="AH616" s="116"/>
      <c r="AI616" s="116"/>
    </row>
    <row r="617" spans="27:35" ht="18">
      <c r="AA617" s="116"/>
      <c r="AB617" s="87"/>
      <c r="AC617" s="116"/>
      <c r="AD617" s="116"/>
      <c r="AE617" s="116"/>
      <c r="AF617" s="116"/>
      <c r="AG617" s="116"/>
      <c r="AH617" s="116"/>
      <c r="AI617" s="116"/>
    </row>
    <row r="618" spans="27:35" ht="18">
      <c r="AA618" s="116"/>
      <c r="AB618" s="87"/>
      <c r="AC618" s="116"/>
      <c r="AD618" s="116"/>
      <c r="AE618" s="116"/>
      <c r="AF618" s="116"/>
      <c r="AG618" s="116"/>
      <c r="AH618" s="116"/>
      <c r="AI618" s="116"/>
    </row>
    <row r="619" spans="27:35" ht="18">
      <c r="AA619" s="116"/>
      <c r="AB619" s="87"/>
      <c r="AC619" s="116"/>
      <c r="AD619" s="116"/>
      <c r="AE619" s="116"/>
      <c r="AF619" s="116"/>
      <c r="AG619" s="116"/>
      <c r="AH619" s="116"/>
      <c r="AI619" s="116"/>
    </row>
    <row r="620" spans="27:35" ht="18">
      <c r="AA620" s="116"/>
      <c r="AB620" s="87"/>
      <c r="AC620" s="116"/>
      <c r="AD620" s="116"/>
      <c r="AE620" s="116"/>
      <c r="AF620" s="116"/>
      <c r="AG620" s="116"/>
      <c r="AH620" s="116"/>
      <c r="AI620" s="116"/>
    </row>
    <row r="621" spans="27:35" ht="18">
      <c r="AA621" s="116"/>
      <c r="AB621" s="87"/>
      <c r="AC621" s="116"/>
      <c r="AD621" s="116"/>
      <c r="AE621" s="116"/>
      <c r="AF621" s="116"/>
      <c r="AG621" s="116"/>
      <c r="AH621" s="116"/>
      <c r="AI621" s="116"/>
    </row>
    <row r="622" spans="27:35" ht="18">
      <c r="AA622" s="116"/>
      <c r="AB622" s="87"/>
      <c r="AC622" s="116"/>
      <c r="AD622" s="116"/>
      <c r="AE622" s="116"/>
      <c r="AF622" s="116"/>
      <c r="AG622" s="116"/>
      <c r="AH622" s="116"/>
      <c r="AI622" s="116"/>
    </row>
    <row r="623" spans="27:35" ht="18">
      <c r="AA623" s="116"/>
      <c r="AB623" s="87"/>
      <c r="AC623" s="116"/>
      <c r="AD623" s="116"/>
      <c r="AE623" s="116"/>
      <c r="AF623" s="116"/>
      <c r="AG623" s="116"/>
      <c r="AH623" s="116"/>
      <c r="AI623" s="116"/>
    </row>
    <row r="624" spans="27:35" ht="18">
      <c r="AA624" s="116"/>
      <c r="AB624" s="87"/>
      <c r="AC624" s="116"/>
      <c r="AD624" s="116"/>
      <c r="AE624" s="116"/>
      <c r="AF624" s="116"/>
      <c r="AG624" s="116"/>
      <c r="AH624" s="116"/>
      <c r="AI624" s="116"/>
    </row>
    <row r="625" spans="27:35" ht="18">
      <c r="AA625" s="116"/>
      <c r="AB625" s="87"/>
      <c r="AC625" s="116"/>
      <c r="AD625" s="116"/>
      <c r="AE625" s="116"/>
      <c r="AF625" s="116"/>
      <c r="AG625" s="116"/>
      <c r="AH625" s="116"/>
      <c r="AI625" s="116"/>
    </row>
    <row r="626" spans="27:35" ht="18">
      <c r="AA626" s="116"/>
      <c r="AB626" s="87"/>
      <c r="AC626" s="116"/>
      <c r="AD626" s="116"/>
      <c r="AE626" s="116"/>
      <c r="AF626" s="116"/>
      <c r="AG626" s="116"/>
      <c r="AH626" s="116"/>
      <c r="AI626" s="116"/>
    </row>
    <row r="627" spans="27:35" ht="18">
      <c r="AA627" s="116"/>
      <c r="AB627" s="87"/>
      <c r="AC627" s="116"/>
      <c r="AD627" s="116"/>
      <c r="AE627" s="116"/>
      <c r="AF627" s="116"/>
      <c r="AG627" s="116"/>
      <c r="AH627" s="116"/>
      <c r="AI627" s="116"/>
    </row>
    <row r="628" spans="27:35" ht="18">
      <c r="AA628" s="116"/>
      <c r="AB628" s="87"/>
      <c r="AC628" s="116"/>
      <c r="AD628" s="116"/>
      <c r="AE628" s="116"/>
      <c r="AF628" s="116"/>
      <c r="AG628" s="116"/>
      <c r="AH628" s="116"/>
      <c r="AI628" s="116"/>
    </row>
    <row r="629" spans="27:35" ht="18">
      <c r="AA629" s="116"/>
      <c r="AB629" s="87"/>
      <c r="AC629" s="116"/>
      <c r="AD629" s="116"/>
      <c r="AE629" s="116"/>
      <c r="AF629" s="116"/>
      <c r="AG629" s="116"/>
      <c r="AH629" s="116"/>
      <c r="AI629" s="116"/>
    </row>
    <row r="630" spans="27:35" ht="18">
      <c r="AA630" s="116"/>
      <c r="AB630" s="87"/>
      <c r="AC630" s="116"/>
      <c r="AD630" s="116"/>
      <c r="AE630" s="116"/>
      <c r="AF630" s="116"/>
      <c r="AG630" s="116"/>
      <c r="AH630" s="116"/>
      <c r="AI630" s="116"/>
    </row>
    <row r="631" spans="27:35" ht="18">
      <c r="AA631" s="116"/>
      <c r="AB631" s="87"/>
      <c r="AC631" s="116"/>
      <c r="AD631" s="116"/>
      <c r="AE631" s="116"/>
      <c r="AF631" s="116"/>
      <c r="AG631" s="116"/>
      <c r="AH631" s="116"/>
      <c r="AI631" s="116"/>
    </row>
    <row r="632" spans="27:35" ht="18">
      <c r="AA632" s="116"/>
      <c r="AB632" s="87"/>
      <c r="AC632" s="116"/>
      <c r="AD632" s="116"/>
      <c r="AE632" s="116"/>
      <c r="AF632" s="116"/>
      <c r="AG632" s="116"/>
      <c r="AH632" s="116"/>
      <c r="AI632" s="116"/>
    </row>
    <row r="633" spans="27:35" ht="18">
      <c r="AA633" s="116"/>
      <c r="AB633" s="87"/>
      <c r="AC633" s="116"/>
      <c r="AD633" s="116"/>
      <c r="AE633" s="116"/>
      <c r="AF633" s="116"/>
      <c r="AG633" s="116"/>
      <c r="AH633" s="116"/>
      <c r="AI633" s="116"/>
    </row>
    <row r="634" spans="27:35" ht="18">
      <c r="AA634" s="116"/>
      <c r="AB634" s="184"/>
      <c r="AC634" s="116"/>
      <c r="AD634" s="116"/>
      <c r="AE634" s="116"/>
      <c r="AF634" s="116"/>
      <c r="AG634" s="116"/>
      <c r="AH634" s="116"/>
      <c r="AI634" s="116"/>
    </row>
    <row r="635" spans="27:35" ht="18">
      <c r="AA635" s="116"/>
      <c r="AB635" s="87"/>
      <c r="AC635" s="116"/>
      <c r="AD635" s="116"/>
      <c r="AE635" s="116"/>
      <c r="AF635" s="116"/>
      <c r="AG635" s="116"/>
      <c r="AH635" s="116"/>
      <c r="AI635" s="116"/>
    </row>
    <row r="636" spans="27:35" ht="18">
      <c r="AA636" s="116"/>
      <c r="AB636" s="87"/>
      <c r="AC636" s="116"/>
      <c r="AD636" s="116"/>
      <c r="AE636" s="116"/>
      <c r="AF636" s="116"/>
      <c r="AG636" s="116"/>
      <c r="AH636" s="116"/>
      <c r="AI636" s="116"/>
    </row>
    <row r="637" spans="27:35" ht="18">
      <c r="AA637" s="116"/>
      <c r="AB637" s="87"/>
      <c r="AC637" s="116"/>
      <c r="AD637" s="116"/>
      <c r="AE637" s="116"/>
      <c r="AF637" s="116"/>
      <c r="AG637" s="116"/>
      <c r="AH637" s="116"/>
      <c r="AI637" s="116"/>
    </row>
    <row r="638" spans="27:35" ht="18">
      <c r="AA638" s="116"/>
      <c r="AB638" s="87"/>
      <c r="AC638" s="116"/>
      <c r="AD638" s="116"/>
      <c r="AE638" s="116"/>
      <c r="AF638" s="116"/>
      <c r="AG638" s="116"/>
      <c r="AH638" s="116"/>
      <c r="AI638" s="116"/>
    </row>
    <row r="639" spans="27:35" ht="18">
      <c r="AA639" s="116"/>
      <c r="AB639" s="87"/>
      <c r="AC639" s="116"/>
      <c r="AD639" s="116"/>
      <c r="AE639" s="116"/>
      <c r="AF639" s="116"/>
      <c r="AG639" s="116"/>
      <c r="AH639" s="116"/>
      <c r="AI639" s="116"/>
    </row>
    <row r="640" spans="27:35" ht="18">
      <c r="AA640" s="116"/>
      <c r="AB640" s="87"/>
      <c r="AC640" s="116"/>
      <c r="AD640" s="116"/>
      <c r="AE640" s="116"/>
      <c r="AF640" s="116"/>
      <c r="AG640" s="116"/>
      <c r="AH640" s="116"/>
      <c r="AI640" s="116"/>
    </row>
    <row r="641" spans="27:35" ht="18">
      <c r="AA641" s="116"/>
      <c r="AB641" s="87"/>
      <c r="AC641" s="116"/>
      <c r="AD641" s="116"/>
      <c r="AE641" s="116"/>
      <c r="AF641" s="116"/>
      <c r="AG641" s="116"/>
      <c r="AH641" s="116"/>
      <c r="AI641" s="116"/>
    </row>
    <row r="642" spans="27:35" ht="18">
      <c r="AA642" s="116"/>
      <c r="AB642" s="87"/>
      <c r="AC642" s="116"/>
      <c r="AD642" s="116"/>
      <c r="AE642" s="116"/>
      <c r="AF642" s="116"/>
      <c r="AG642" s="116"/>
      <c r="AH642" s="116"/>
      <c r="AI642" s="116"/>
    </row>
    <row r="643" spans="27:35" ht="18">
      <c r="AA643" s="116"/>
      <c r="AB643" s="87"/>
      <c r="AC643" s="116"/>
      <c r="AD643" s="116"/>
      <c r="AE643" s="116"/>
      <c r="AF643" s="116"/>
      <c r="AG643" s="116"/>
      <c r="AH643" s="116"/>
      <c r="AI643" s="116"/>
    </row>
    <row r="644" spans="27:35" ht="18">
      <c r="AA644" s="116"/>
      <c r="AB644" s="87"/>
      <c r="AC644" s="116"/>
      <c r="AD644" s="116"/>
      <c r="AE644" s="116"/>
      <c r="AF644" s="116"/>
      <c r="AG644" s="116"/>
      <c r="AH644" s="116"/>
      <c r="AI644" s="116"/>
    </row>
    <row r="645" spans="27:35" ht="18">
      <c r="AA645" s="116"/>
      <c r="AB645" s="87"/>
      <c r="AC645" s="116"/>
      <c r="AD645" s="116"/>
      <c r="AE645" s="116"/>
      <c r="AF645" s="116"/>
      <c r="AG645" s="116"/>
      <c r="AH645" s="116"/>
      <c r="AI645" s="116"/>
    </row>
    <row r="646" spans="27:35" ht="18">
      <c r="AA646" s="116"/>
      <c r="AB646" s="87"/>
      <c r="AC646" s="116"/>
      <c r="AD646" s="116"/>
      <c r="AE646" s="116"/>
      <c r="AF646" s="116"/>
      <c r="AG646" s="116"/>
      <c r="AH646" s="116"/>
      <c r="AI646" s="116"/>
    </row>
    <row r="647" spans="27:35" ht="18">
      <c r="AA647" s="116"/>
      <c r="AB647" s="87"/>
      <c r="AC647" s="116"/>
      <c r="AD647" s="116"/>
      <c r="AE647" s="116"/>
      <c r="AF647" s="116"/>
      <c r="AG647" s="116"/>
      <c r="AH647" s="116"/>
      <c r="AI647" s="116"/>
    </row>
    <row r="648" spans="27:35" ht="18">
      <c r="AA648" s="116"/>
      <c r="AB648" s="87"/>
      <c r="AC648" s="116"/>
      <c r="AD648" s="116"/>
      <c r="AE648" s="116"/>
      <c r="AF648" s="116"/>
      <c r="AG648" s="116"/>
      <c r="AH648" s="116"/>
      <c r="AI648" s="116"/>
    </row>
    <row r="649" spans="27:35" ht="18">
      <c r="AA649" s="116"/>
      <c r="AB649" s="87"/>
      <c r="AC649" s="116"/>
      <c r="AD649" s="116"/>
      <c r="AE649" s="116"/>
      <c r="AF649" s="116"/>
      <c r="AG649" s="116"/>
      <c r="AH649" s="116"/>
      <c r="AI649" s="116"/>
    </row>
    <row r="650" spans="27:35" ht="18">
      <c r="AA650" s="116"/>
      <c r="AB650" s="87"/>
      <c r="AC650" s="116"/>
      <c r="AD650" s="116"/>
      <c r="AE650" s="116"/>
      <c r="AF650" s="116"/>
      <c r="AG650" s="116"/>
      <c r="AH650" s="116"/>
      <c r="AI650" s="116"/>
    </row>
    <row r="651" spans="27:35" ht="18">
      <c r="AA651" s="116"/>
      <c r="AB651" s="87"/>
      <c r="AC651" s="116"/>
      <c r="AD651" s="116"/>
      <c r="AE651" s="116"/>
      <c r="AF651" s="116"/>
      <c r="AG651" s="116"/>
      <c r="AH651" s="116"/>
      <c r="AI651" s="116"/>
    </row>
    <row r="652" spans="27:35" ht="18">
      <c r="AA652" s="116"/>
      <c r="AB652" s="87"/>
      <c r="AC652" s="116"/>
      <c r="AD652" s="116"/>
      <c r="AE652" s="116"/>
      <c r="AF652" s="116"/>
      <c r="AG652" s="116"/>
      <c r="AH652" s="116"/>
      <c r="AI652" s="116"/>
    </row>
    <row r="653" spans="27:35" ht="18">
      <c r="AA653" s="116"/>
      <c r="AB653" s="87"/>
      <c r="AC653" s="116"/>
      <c r="AD653" s="116"/>
      <c r="AE653" s="116"/>
      <c r="AF653" s="116"/>
      <c r="AG653" s="116"/>
      <c r="AH653" s="116"/>
      <c r="AI653" s="116"/>
    </row>
    <row r="654" spans="27:35" ht="18">
      <c r="AA654" s="116"/>
      <c r="AB654" s="87"/>
      <c r="AC654" s="116"/>
      <c r="AD654" s="116"/>
      <c r="AE654" s="116"/>
      <c r="AF654" s="116"/>
      <c r="AG654" s="116"/>
      <c r="AH654" s="116"/>
      <c r="AI654" s="116"/>
    </row>
    <row r="655" spans="27:35" ht="18">
      <c r="AA655" s="116"/>
      <c r="AB655" s="87"/>
      <c r="AC655" s="116"/>
      <c r="AD655" s="116"/>
      <c r="AE655" s="116"/>
      <c r="AF655" s="116"/>
      <c r="AG655" s="116"/>
      <c r="AH655" s="116"/>
      <c r="AI655" s="116"/>
    </row>
    <row r="656" spans="27:35" ht="18">
      <c r="AA656" s="116"/>
      <c r="AB656" s="87"/>
      <c r="AC656" s="116"/>
      <c r="AD656" s="116"/>
      <c r="AE656" s="116"/>
      <c r="AF656" s="116"/>
      <c r="AG656" s="116"/>
      <c r="AH656" s="116"/>
      <c r="AI656" s="116"/>
    </row>
    <row r="657" spans="27:35" ht="18">
      <c r="AA657" s="116"/>
      <c r="AB657" s="87"/>
      <c r="AC657" s="116"/>
      <c r="AD657" s="116"/>
      <c r="AE657" s="116"/>
      <c r="AF657" s="116"/>
      <c r="AG657" s="116"/>
      <c r="AH657" s="116"/>
      <c r="AI657" s="116"/>
    </row>
    <row r="658" spans="27:35" ht="18">
      <c r="AA658" s="116"/>
      <c r="AB658" s="87"/>
      <c r="AC658" s="116"/>
      <c r="AD658" s="116"/>
      <c r="AE658" s="116"/>
      <c r="AF658" s="116"/>
      <c r="AG658" s="116"/>
      <c r="AH658" s="116"/>
      <c r="AI658" s="116"/>
    </row>
    <row r="659" spans="27:35" ht="18">
      <c r="AA659" s="116"/>
      <c r="AB659" s="87"/>
      <c r="AC659" s="116"/>
      <c r="AD659" s="116"/>
      <c r="AE659" s="116"/>
      <c r="AF659" s="116"/>
      <c r="AG659" s="116"/>
      <c r="AH659" s="116"/>
      <c r="AI659" s="116"/>
    </row>
    <row r="660" spans="27:35" ht="18">
      <c r="AA660" s="116"/>
      <c r="AB660" s="87"/>
      <c r="AC660" s="116"/>
      <c r="AD660" s="116"/>
      <c r="AE660" s="116"/>
      <c r="AF660" s="116"/>
      <c r="AG660" s="116"/>
      <c r="AH660" s="116"/>
      <c r="AI660" s="116"/>
    </row>
    <row r="661" spans="27:35" ht="18">
      <c r="AA661" s="116"/>
      <c r="AB661" s="87"/>
      <c r="AC661" s="116"/>
      <c r="AD661" s="116"/>
      <c r="AE661" s="116"/>
      <c r="AF661" s="116"/>
      <c r="AG661" s="116"/>
      <c r="AH661" s="116"/>
      <c r="AI661" s="116"/>
    </row>
    <row r="662" spans="27:35" ht="18">
      <c r="AA662" s="116"/>
      <c r="AB662" s="87"/>
      <c r="AC662" s="116"/>
      <c r="AD662" s="116"/>
      <c r="AE662" s="116"/>
      <c r="AF662" s="116"/>
      <c r="AG662" s="116"/>
      <c r="AH662" s="116"/>
      <c r="AI662" s="116"/>
    </row>
    <row r="663" spans="27:35" ht="18">
      <c r="AA663" s="116"/>
      <c r="AB663" s="87"/>
      <c r="AC663" s="116"/>
      <c r="AD663" s="116"/>
      <c r="AE663" s="116"/>
      <c r="AF663" s="116"/>
      <c r="AG663" s="116"/>
      <c r="AH663" s="116"/>
      <c r="AI663" s="116"/>
    </row>
    <row r="664" spans="27:35" ht="18">
      <c r="AA664" s="116"/>
      <c r="AB664" s="87"/>
      <c r="AC664" s="116"/>
      <c r="AD664" s="116"/>
      <c r="AE664" s="116"/>
      <c r="AF664" s="116"/>
      <c r="AG664" s="116"/>
      <c r="AH664" s="116"/>
      <c r="AI664" s="116"/>
    </row>
    <row r="665" spans="27:35" ht="18">
      <c r="AA665" s="116"/>
      <c r="AB665" s="87"/>
      <c r="AC665" s="116"/>
      <c r="AD665" s="116"/>
      <c r="AE665" s="116"/>
      <c r="AF665" s="116"/>
      <c r="AG665" s="116"/>
      <c r="AH665" s="116"/>
      <c r="AI665" s="116"/>
    </row>
    <row r="666" spans="27:35" ht="18">
      <c r="AA666" s="116"/>
      <c r="AB666" s="87"/>
      <c r="AC666" s="116"/>
      <c r="AD666" s="116"/>
      <c r="AE666" s="116"/>
      <c r="AF666" s="116"/>
      <c r="AG666" s="116"/>
      <c r="AH666" s="116"/>
      <c r="AI666" s="116"/>
    </row>
    <row r="667" spans="27:35" ht="18">
      <c r="AA667" s="116"/>
      <c r="AB667" s="87"/>
      <c r="AC667" s="116"/>
      <c r="AD667" s="116"/>
      <c r="AE667" s="116"/>
      <c r="AF667" s="116"/>
      <c r="AG667" s="116"/>
      <c r="AH667" s="116"/>
      <c r="AI667" s="116"/>
    </row>
    <row r="668" spans="27:35" ht="18">
      <c r="AA668" s="116"/>
      <c r="AB668" s="87"/>
      <c r="AC668" s="116"/>
      <c r="AD668" s="116"/>
      <c r="AE668" s="116"/>
      <c r="AF668" s="116"/>
      <c r="AG668" s="116"/>
      <c r="AH668" s="116"/>
      <c r="AI668" s="116"/>
    </row>
    <row r="669" spans="27:35" ht="18">
      <c r="AA669" s="116"/>
      <c r="AB669" s="87"/>
      <c r="AC669" s="116"/>
      <c r="AD669" s="116"/>
      <c r="AE669" s="116"/>
      <c r="AF669" s="116"/>
      <c r="AG669" s="116"/>
      <c r="AH669" s="116"/>
      <c r="AI669" s="116"/>
    </row>
    <row r="670" spans="27:35" ht="18">
      <c r="AA670" s="116"/>
      <c r="AB670" s="87"/>
      <c r="AC670" s="116"/>
      <c r="AD670" s="116"/>
      <c r="AE670" s="116"/>
      <c r="AF670" s="116"/>
      <c r="AG670" s="116"/>
      <c r="AH670" s="116"/>
      <c r="AI670" s="116"/>
    </row>
    <row r="671" spans="27:35" ht="18">
      <c r="AA671" s="116"/>
      <c r="AB671" s="87"/>
      <c r="AC671" s="116"/>
      <c r="AD671" s="116"/>
      <c r="AE671" s="116"/>
      <c r="AF671" s="116"/>
      <c r="AG671" s="116"/>
      <c r="AH671" s="116"/>
      <c r="AI671" s="116"/>
    </row>
    <row r="672" spans="27:35" ht="18">
      <c r="AA672" s="116"/>
      <c r="AB672" s="87"/>
      <c r="AC672" s="116"/>
      <c r="AD672" s="116"/>
      <c r="AE672" s="116"/>
      <c r="AF672" s="116"/>
      <c r="AG672" s="116"/>
      <c r="AH672" s="116"/>
      <c r="AI672" s="116"/>
    </row>
    <row r="673" spans="27:35" ht="18">
      <c r="AA673" s="116"/>
      <c r="AB673" s="87"/>
      <c r="AC673" s="116"/>
      <c r="AD673" s="116"/>
      <c r="AE673" s="116"/>
      <c r="AF673" s="116"/>
      <c r="AG673" s="116"/>
      <c r="AH673" s="116"/>
      <c r="AI673" s="116"/>
    </row>
    <row r="674" spans="27:35" ht="18">
      <c r="AA674" s="116"/>
      <c r="AB674" s="87"/>
      <c r="AC674" s="116"/>
      <c r="AD674" s="116"/>
      <c r="AE674" s="116"/>
      <c r="AF674" s="116"/>
      <c r="AG674" s="116"/>
      <c r="AH674" s="116"/>
      <c r="AI674" s="116"/>
    </row>
    <row r="675" spans="27:35" ht="18">
      <c r="AA675" s="116"/>
      <c r="AB675" s="87"/>
      <c r="AC675" s="116"/>
      <c r="AD675" s="116"/>
      <c r="AE675" s="116"/>
      <c r="AF675" s="116"/>
      <c r="AG675" s="116"/>
      <c r="AH675" s="116"/>
      <c r="AI675" s="116"/>
    </row>
    <row r="676" spans="27:35" ht="18">
      <c r="AA676" s="116"/>
      <c r="AB676" s="87"/>
      <c r="AC676" s="116"/>
      <c r="AD676" s="116"/>
      <c r="AE676" s="116"/>
      <c r="AF676" s="116"/>
      <c r="AG676" s="116"/>
      <c r="AH676" s="116"/>
      <c r="AI676" s="116"/>
    </row>
    <row r="677" spans="27:35" ht="18">
      <c r="AA677" s="116"/>
      <c r="AB677" s="87"/>
      <c r="AC677" s="116"/>
      <c r="AD677" s="116"/>
      <c r="AE677" s="116"/>
      <c r="AF677" s="116"/>
      <c r="AG677" s="116"/>
      <c r="AH677" s="116"/>
      <c r="AI677" s="116"/>
    </row>
    <row r="678" spans="27:35" ht="18">
      <c r="AA678" s="116"/>
      <c r="AB678" s="87"/>
      <c r="AC678" s="116"/>
      <c r="AD678" s="116"/>
      <c r="AE678" s="116"/>
      <c r="AF678" s="116"/>
      <c r="AG678" s="116"/>
      <c r="AH678" s="116"/>
      <c r="AI678" s="116"/>
    </row>
    <row r="679" spans="27:35" ht="18">
      <c r="AA679" s="116"/>
      <c r="AB679" s="87"/>
      <c r="AC679" s="116"/>
      <c r="AD679" s="116"/>
      <c r="AE679" s="116"/>
      <c r="AF679" s="116"/>
      <c r="AG679" s="116"/>
      <c r="AH679" s="116"/>
      <c r="AI679" s="116"/>
    </row>
    <row r="680" spans="27:35" ht="18">
      <c r="AA680" s="116"/>
      <c r="AB680" s="87"/>
      <c r="AC680" s="116"/>
      <c r="AD680" s="116"/>
      <c r="AE680" s="116"/>
      <c r="AF680" s="116"/>
      <c r="AG680" s="116"/>
      <c r="AH680" s="116"/>
      <c r="AI680" s="116"/>
    </row>
    <row r="681" spans="27:35" ht="18">
      <c r="AA681" s="116"/>
      <c r="AB681" s="87"/>
      <c r="AC681" s="116"/>
      <c r="AD681" s="116"/>
      <c r="AE681" s="116"/>
      <c r="AF681" s="116"/>
      <c r="AG681" s="116"/>
      <c r="AH681" s="116"/>
      <c r="AI681" s="116"/>
    </row>
    <row r="682" spans="27:35" ht="18">
      <c r="AA682" s="116"/>
      <c r="AB682" s="87"/>
      <c r="AC682" s="116"/>
      <c r="AD682" s="116"/>
      <c r="AE682" s="116"/>
      <c r="AF682" s="116"/>
      <c r="AG682" s="116"/>
      <c r="AH682" s="116"/>
      <c r="AI682" s="116"/>
    </row>
    <row r="683" spans="27:35" ht="18">
      <c r="AA683" s="116"/>
      <c r="AB683" s="87"/>
      <c r="AC683" s="116"/>
      <c r="AD683" s="116"/>
      <c r="AE683" s="116"/>
      <c r="AF683" s="116"/>
      <c r="AG683" s="116"/>
      <c r="AH683" s="116"/>
      <c r="AI683" s="116"/>
    </row>
    <row r="684" spans="27:35" ht="18">
      <c r="AA684" s="116"/>
      <c r="AB684" s="87"/>
      <c r="AC684" s="116"/>
      <c r="AD684" s="116"/>
      <c r="AE684" s="116"/>
      <c r="AF684" s="116"/>
      <c r="AG684" s="116"/>
      <c r="AH684" s="116"/>
      <c r="AI684" s="116"/>
    </row>
    <row r="685" spans="27:35" ht="18">
      <c r="AA685" s="116"/>
      <c r="AB685" s="87"/>
      <c r="AC685" s="116"/>
      <c r="AD685" s="116"/>
      <c r="AE685" s="116"/>
      <c r="AF685" s="116"/>
      <c r="AG685" s="116"/>
      <c r="AH685" s="116"/>
      <c r="AI685" s="116"/>
    </row>
    <row r="686" spans="27:35" ht="18">
      <c r="AA686" s="116"/>
      <c r="AB686" s="87"/>
      <c r="AC686" s="116"/>
      <c r="AD686" s="116"/>
      <c r="AE686" s="116"/>
      <c r="AF686" s="116"/>
      <c r="AG686" s="116"/>
      <c r="AH686" s="116"/>
      <c r="AI686" s="116"/>
    </row>
    <row r="687" spans="27:35" ht="18">
      <c r="AA687" s="116"/>
      <c r="AB687" s="87"/>
      <c r="AC687" s="116"/>
      <c r="AD687" s="116"/>
      <c r="AE687" s="116"/>
      <c r="AF687" s="116"/>
      <c r="AG687" s="116"/>
      <c r="AH687" s="116"/>
      <c r="AI687" s="116"/>
    </row>
    <row r="688" spans="27:35" ht="18">
      <c r="AA688" s="116"/>
      <c r="AB688" s="87"/>
      <c r="AC688" s="116"/>
      <c r="AD688" s="116"/>
      <c r="AE688" s="116"/>
      <c r="AF688" s="116"/>
      <c r="AG688" s="116"/>
      <c r="AH688" s="116"/>
      <c r="AI688" s="116"/>
    </row>
    <row r="689" spans="27:35" ht="18">
      <c r="AA689" s="116"/>
      <c r="AB689" s="87"/>
      <c r="AC689" s="116"/>
      <c r="AD689" s="116"/>
      <c r="AE689" s="116"/>
      <c r="AF689" s="116"/>
      <c r="AG689" s="116"/>
      <c r="AH689" s="116"/>
      <c r="AI689" s="116"/>
    </row>
    <row r="690" spans="27:35" ht="18">
      <c r="AA690" s="116"/>
      <c r="AB690" s="87"/>
      <c r="AC690" s="116"/>
      <c r="AD690" s="116"/>
      <c r="AE690" s="116"/>
      <c r="AF690" s="116"/>
      <c r="AG690" s="116"/>
      <c r="AH690" s="116"/>
      <c r="AI690" s="116"/>
    </row>
    <row r="691" spans="27:35" ht="18">
      <c r="AA691" s="116"/>
      <c r="AB691" s="87"/>
      <c r="AC691" s="116"/>
      <c r="AD691" s="116"/>
      <c r="AE691" s="116"/>
      <c r="AF691" s="116"/>
      <c r="AG691" s="116"/>
      <c r="AH691" s="116"/>
      <c r="AI691" s="116"/>
    </row>
    <row r="692" spans="27:35" ht="18">
      <c r="AA692" s="116"/>
      <c r="AB692" s="87"/>
      <c r="AC692" s="116"/>
      <c r="AD692" s="116"/>
      <c r="AE692" s="116"/>
      <c r="AF692" s="116"/>
      <c r="AG692" s="116"/>
      <c r="AH692" s="116"/>
      <c r="AI692" s="116"/>
    </row>
    <row r="693" spans="27:35" ht="18">
      <c r="AA693" s="116"/>
      <c r="AB693" s="87"/>
      <c r="AC693" s="116"/>
      <c r="AD693" s="116"/>
      <c r="AE693" s="116"/>
      <c r="AF693" s="116"/>
      <c r="AG693" s="116"/>
      <c r="AH693" s="116"/>
      <c r="AI693" s="116"/>
    </row>
    <row r="694" spans="27:35" ht="18">
      <c r="AA694" s="116"/>
      <c r="AB694" s="87"/>
      <c r="AC694" s="116"/>
      <c r="AD694" s="116"/>
      <c r="AE694" s="116"/>
      <c r="AF694" s="116"/>
      <c r="AG694" s="116"/>
      <c r="AH694" s="116"/>
      <c r="AI694" s="116"/>
    </row>
    <row r="695" spans="27:35" ht="18">
      <c r="AA695" s="116"/>
      <c r="AB695" s="87"/>
      <c r="AC695" s="116"/>
      <c r="AD695" s="116"/>
      <c r="AE695" s="116"/>
      <c r="AF695" s="116"/>
      <c r="AG695" s="116"/>
      <c r="AH695" s="116"/>
      <c r="AI695" s="116"/>
    </row>
    <row r="696" spans="27:35" ht="18">
      <c r="AA696" s="116"/>
      <c r="AB696" s="87"/>
      <c r="AC696" s="116"/>
      <c r="AD696" s="116"/>
      <c r="AE696" s="116"/>
      <c r="AF696" s="116"/>
      <c r="AG696" s="116"/>
      <c r="AH696" s="116"/>
      <c r="AI696" s="116"/>
    </row>
    <row r="697" spans="27:35" ht="18">
      <c r="AA697" s="116"/>
      <c r="AB697" s="87"/>
      <c r="AC697" s="116"/>
      <c r="AD697" s="116"/>
      <c r="AE697" s="116"/>
      <c r="AF697" s="116"/>
      <c r="AG697" s="116"/>
      <c r="AH697" s="116"/>
      <c r="AI697" s="116"/>
    </row>
    <row r="698" spans="27:35" ht="18">
      <c r="AA698" s="116"/>
      <c r="AB698" s="87"/>
      <c r="AC698" s="116"/>
      <c r="AD698" s="116"/>
      <c r="AE698" s="116"/>
      <c r="AF698" s="116"/>
      <c r="AG698" s="116"/>
      <c r="AH698" s="116"/>
      <c r="AI698" s="116"/>
    </row>
    <row r="699" spans="27:35" ht="18">
      <c r="AA699" s="116"/>
      <c r="AB699" s="87"/>
      <c r="AC699" s="116"/>
      <c r="AD699" s="116"/>
      <c r="AE699" s="116"/>
      <c r="AF699" s="116"/>
      <c r="AG699" s="116"/>
      <c r="AH699" s="116"/>
      <c r="AI699" s="116"/>
    </row>
    <row r="700" spans="27:35" ht="18">
      <c r="AA700" s="116"/>
      <c r="AB700" s="87"/>
      <c r="AC700" s="116"/>
      <c r="AD700" s="116"/>
      <c r="AE700" s="116"/>
      <c r="AF700" s="116"/>
      <c r="AG700" s="116"/>
      <c r="AH700" s="116"/>
      <c r="AI700" s="116"/>
    </row>
    <row r="701" spans="27:35" ht="18">
      <c r="AA701" s="116"/>
      <c r="AB701" s="87"/>
      <c r="AC701" s="116"/>
      <c r="AD701" s="116"/>
      <c r="AE701" s="116"/>
      <c r="AF701" s="116"/>
      <c r="AG701" s="116"/>
      <c r="AH701" s="116"/>
      <c r="AI701" s="116"/>
    </row>
    <row r="702" spans="27:35" ht="18">
      <c r="AA702" s="116"/>
      <c r="AB702" s="87"/>
      <c r="AC702" s="116"/>
      <c r="AD702" s="116"/>
      <c r="AE702" s="116"/>
      <c r="AF702" s="116"/>
      <c r="AG702" s="116"/>
      <c r="AH702" s="116"/>
      <c r="AI702" s="116"/>
    </row>
    <row r="703" spans="27:35" ht="18">
      <c r="AA703" s="116"/>
      <c r="AB703" s="87"/>
      <c r="AC703" s="116"/>
      <c r="AD703" s="116"/>
      <c r="AE703" s="116"/>
      <c r="AF703" s="116"/>
      <c r="AG703" s="116"/>
      <c r="AH703" s="116"/>
      <c r="AI703" s="116"/>
    </row>
    <row r="704" spans="27:35" ht="18">
      <c r="AA704" s="116"/>
      <c r="AB704" s="87"/>
      <c r="AC704" s="116"/>
      <c r="AD704" s="116"/>
      <c r="AE704" s="116"/>
      <c r="AF704" s="116"/>
      <c r="AG704" s="116"/>
      <c r="AH704" s="116"/>
      <c r="AI704" s="116"/>
    </row>
    <row r="705" spans="27:35" ht="18">
      <c r="AA705" s="116"/>
      <c r="AB705" s="87"/>
      <c r="AC705" s="116"/>
      <c r="AD705" s="116"/>
      <c r="AE705" s="116"/>
      <c r="AF705" s="116"/>
      <c r="AG705" s="116"/>
      <c r="AH705" s="116"/>
      <c r="AI705" s="116"/>
    </row>
    <row r="706" spans="27:35" ht="18">
      <c r="AA706" s="116"/>
      <c r="AB706" s="87"/>
      <c r="AC706" s="116"/>
      <c r="AD706" s="116"/>
      <c r="AE706" s="116"/>
      <c r="AF706" s="116"/>
      <c r="AG706" s="116"/>
      <c r="AH706" s="116"/>
      <c r="AI706" s="116"/>
    </row>
    <row r="707" spans="27:35" ht="18">
      <c r="AA707" s="116"/>
      <c r="AB707" s="87"/>
      <c r="AC707" s="116"/>
      <c r="AD707" s="116"/>
      <c r="AE707" s="116"/>
      <c r="AF707" s="116"/>
      <c r="AG707" s="116"/>
      <c r="AH707" s="116"/>
      <c r="AI707" s="116"/>
    </row>
    <row r="708" spans="27:35" ht="18">
      <c r="AA708" s="116"/>
      <c r="AB708" s="87"/>
      <c r="AC708" s="116"/>
      <c r="AD708" s="116"/>
      <c r="AE708" s="116"/>
      <c r="AF708" s="116"/>
      <c r="AG708" s="116"/>
      <c r="AH708" s="116"/>
      <c r="AI708" s="116"/>
    </row>
    <row r="709" spans="27:35" ht="18">
      <c r="AA709" s="116"/>
      <c r="AB709" s="87"/>
      <c r="AC709" s="116"/>
      <c r="AD709" s="116"/>
      <c r="AE709" s="116"/>
      <c r="AF709" s="116"/>
      <c r="AG709" s="116"/>
      <c r="AH709" s="116"/>
      <c r="AI709" s="116"/>
    </row>
    <row r="710" spans="27:35" ht="18">
      <c r="AA710" s="116"/>
      <c r="AB710" s="87"/>
      <c r="AC710" s="116"/>
      <c r="AD710" s="116"/>
      <c r="AE710" s="116"/>
      <c r="AF710" s="116"/>
      <c r="AG710" s="116"/>
      <c r="AH710" s="116"/>
      <c r="AI710" s="116"/>
    </row>
    <row r="711" spans="27:35" ht="18">
      <c r="AA711" s="116"/>
      <c r="AB711" s="87"/>
      <c r="AC711" s="116"/>
      <c r="AD711" s="116"/>
      <c r="AE711" s="116"/>
      <c r="AF711" s="116"/>
      <c r="AG711" s="116"/>
      <c r="AH711" s="116"/>
      <c r="AI711" s="116"/>
    </row>
    <row r="712" spans="27:35" ht="18">
      <c r="AA712" s="116"/>
      <c r="AB712" s="87"/>
      <c r="AC712" s="116"/>
      <c r="AD712" s="116"/>
      <c r="AE712" s="116"/>
      <c r="AF712" s="116"/>
      <c r="AG712" s="116"/>
      <c r="AH712" s="116"/>
      <c r="AI712" s="116"/>
    </row>
    <row r="713" spans="27:35" ht="18">
      <c r="AA713" s="116"/>
      <c r="AB713" s="87"/>
      <c r="AC713" s="116"/>
      <c r="AD713" s="116"/>
      <c r="AE713" s="116"/>
      <c r="AF713" s="116"/>
      <c r="AG713" s="116"/>
      <c r="AH713" s="116"/>
      <c r="AI713" s="116"/>
    </row>
    <row r="714" spans="27:35" ht="18">
      <c r="AA714" s="116"/>
      <c r="AB714" s="87"/>
      <c r="AC714" s="116"/>
      <c r="AD714" s="116"/>
      <c r="AE714" s="116"/>
      <c r="AF714" s="116"/>
      <c r="AG714" s="116"/>
      <c r="AH714" s="116"/>
      <c r="AI714" s="116"/>
    </row>
    <row r="715" spans="27:35" ht="18">
      <c r="AA715" s="116"/>
      <c r="AB715" s="87"/>
      <c r="AC715" s="116"/>
      <c r="AD715" s="116"/>
      <c r="AE715" s="116"/>
      <c r="AF715" s="116"/>
      <c r="AG715" s="116"/>
      <c r="AH715" s="116"/>
      <c r="AI715" s="116"/>
    </row>
    <row r="716" spans="27:35" ht="18">
      <c r="AA716" s="116"/>
      <c r="AB716" s="87"/>
      <c r="AC716" s="116"/>
      <c r="AD716" s="116"/>
      <c r="AE716" s="116"/>
      <c r="AF716" s="116"/>
      <c r="AG716" s="116"/>
      <c r="AH716" s="116"/>
      <c r="AI716" s="116"/>
    </row>
    <row r="717" spans="27:35" ht="18">
      <c r="AA717" s="116"/>
      <c r="AB717" s="87"/>
      <c r="AC717" s="116"/>
      <c r="AD717" s="116"/>
      <c r="AE717" s="116"/>
      <c r="AF717" s="116"/>
      <c r="AG717" s="116"/>
      <c r="AH717" s="116"/>
      <c r="AI717" s="116"/>
    </row>
    <row r="718" spans="27:35" ht="18">
      <c r="AA718" s="116"/>
      <c r="AB718" s="87"/>
      <c r="AC718" s="116"/>
      <c r="AD718" s="116"/>
      <c r="AE718" s="116"/>
      <c r="AF718" s="116"/>
      <c r="AG718" s="116"/>
      <c r="AH718" s="116"/>
      <c r="AI718" s="116"/>
    </row>
    <row r="719" spans="27:35" ht="18">
      <c r="AA719" s="116"/>
      <c r="AB719" s="87"/>
      <c r="AC719" s="116"/>
      <c r="AD719" s="116"/>
      <c r="AE719" s="116"/>
      <c r="AF719" s="116"/>
      <c r="AG719" s="116"/>
      <c r="AH719" s="116"/>
      <c r="AI719" s="116"/>
    </row>
    <row r="720" spans="27:35" ht="18">
      <c r="AA720" s="116"/>
      <c r="AB720" s="184"/>
      <c r="AC720" s="116"/>
      <c r="AD720" s="116"/>
      <c r="AE720" s="116"/>
      <c r="AF720" s="116"/>
      <c r="AG720" s="116"/>
      <c r="AH720" s="116"/>
      <c r="AI720" s="116"/>
    </row>
    <row r="721" spans="27:35" ht="18">
      <c r="AA721" s="116"/>
      <c r="AB721" s="184"/>
      <c r="AC721" s="116"/>
      <c r="AD721" s="116"/>
      <c r="AE721" s="116"/>
      <c r="AF721" s="116"/>
      <c r="AG721" s="116"/>
      <c r="AH721" s="116"/>
      <c r="AI721" s="116"/>
    </row>
    <row r="722" spans="27:35" ht="18">
      <c r="AA722" s="116"/>
      <c r="AB722" s="87"/>
      <c r="AC722" s="116"/>
      <c r="AD722" s="116"/>
      <c r="AE722" s="116"/>
      <c r="AF722" s="116"/>
      <c r="AG722" s="116"/>
      <c r="AH722" s="116"/>
      <c r="AI722" s="116"/>
    </row>
    <row r="723" spans="27:35" ht="18">
      <c r="AA723" s="116"/>
      <c r="AB723" s="87"/>
      <c r="AC723" s="116"/>
      <c r="AD723" s="116"/>
      <c r="AE723" s="116"/>
      <c r="AF723" s="116"/>
      <c r="AG723" s="116"/>
      <c r="AH723" s="116"/>
      <c r="AI723" s="116"/>
    </row>
    <row r="724" spans="27:35" ht="18">
      <c r="AA724" s="116"/>
      <c r="AB724" s="87"/>
      <c r="AC724" s="116"/>
      <c r="AD724" s="116"/>
      <c r="AE724" s="116"/>
      <c r="AF724" s="116"/>
      <c r="AG724" s="116"/>
      <c r="AH724" s="116"/>
      <c r="AI724" s="116"/>
    </row>
    <row r="725" spans="27:35" ht="18">
      <c r="AA725" s="116"/>
      <c r="AB725" s="184"/>
      <c r="AC725" s="116"/>
      <c r="AD725" s="116"/>
      <c r="AE725" s="116"/>
      <c r="AF725" s="116"/>
      <c r="AG725" s="116"/>
      <c r="AH725" s="116"/>
      <c r="AI725" s="116"/>
    </row>
    <row r="726" spans="27:35" ht="18">
      <c r="AA726" s="116"/>
      <c r="AB726" s="87"/>
      <c r="AC726" s="116"/>
      <c r="AD726" s="116"/>
      <c r="AE726" s="116"/>
      <c r="AF726" s="116"/>
      <c r="AG726" s="116"/>
      <c r="AH726" s="116"/>
      <c r="AI726" s="116"/>
    </row>
    <row r="727" spans="27:35" ht="18">
      <c r="AA727" s="116"/>
      <c r="AB727" s="87"/>
      <c r="AC727" s="116"/>
      <c r="AD727" s="116"/>
      <c r="AE727" s="116"/>
      <c r="AF727" s="116"/>
      <c r="AG727" s="116"/>
      <c r="AH727" s="116"/>
      <c r="AI727" s="116"/>
    </row>
    <row r="728" spans="27:35" ht="18">
      <c r="AA728" s="116"/>
      <c r="AB728" s="87"/>
      <c r="AC728" s="116"/>
      <c r="AD728" s="116"/>
      <c r="AE728" s="116"/>
      <c r="AF728" s="116"/>
      <c r="AG728" s="116"/>
      <c r="AH728" s="116"/>
      <c r="AI728" s="116"/>
    </row>
    <row r="729" spans="27:35" ht="18">
      <c r="AA729" s="116"/>
      <c r="AB729" s="87"/>
      <c r="AC729" s="116"/>
      <c r="AD729" s="116"/>
      <c r="AE729" s="116"/>
      <c r="AF729" s="116"/>
      <c r="AG729" s="116"/>
      <c r="AH729" s="116"/>
      <c r="AI729" s="116"/>
    </row>
    <row r="730" spans="27:35" ht="18">
      <c r="AA730" s="116"/>
      <c r="AB730" s="87"/>
      <c r="AC730" s="116"/>
      <c r="AD730" s="116"/>
      <c r="AE730" s="116"/>
      <c r="AF730" s="116"/>
      <c r="AG730" s="116"/>
      <c r="AH730" s="116"/>
      <c r="AI730" s="116"/>
    </row>
    <row r="731" spans="27:35" ht="18">
      <c r="AA731" s="116"/>
      <c r="AB731" s="87"/>
      <c r="AC731" s="116"/>
      <c r="AD731" s="116"/>
      <c r="AE731" s="116"/>
      <c r="AF731" s="116"/>
      <c r="AG731" s="116"/>
      <c r="AH731" s="116"/>
      <c r="AI731" s="116"/>
    </row>
    <row r="732" spans="27:35" ht="18">
      <c r="AA732" s="116"/>
      <c r="AB732" s="87"/>
      <c r="AC732" s="116"/>
      <c r="AD732" s="116"/>
      <c r="AE732" s="116"/>
      <c r="AF732" s="116"/>
      <c r="AG732" s="116"/>
      <c r="AH732" s="116"/>
      <c r="AI732" s="116"/>
    </row>
    <row r="733" spans="27:35" ht="18">
      <c r="AA733" s="116"/>
      <c r="AB733" s="184"/>
      <c r="AC733" s="116"/>
      <c r="AD733" s="116"/>
      <c r="AE733" s="116"/>
      <c r="AF733" s="116"/>
      <c r="AG733" s="116"/>
      <c r="AH733" s="116"/>
      <c r="AI733" s="116"/>
    </row>
    <row r="734" spans="27:35" ht="18">
      <c r="AA734" s="116"/>
      <c r="AB734" s="184"/>
      <c r="AC734" s="116"/>
      <c r="AD734" s="116"/>
      <c r="AE734" s="116"/>
      <c r="AF734" s="116"/>
      <c r="AG734" s="116"/>
      <c r="AH734" s="116"/>
      <c r="AI734" s="116"/>
    </row>
    <row r="735" spans="27:35" ht="18">
      <c r="AA735" s="116"/>
      <c r="AB735" s="87"/>
      <c r="AC735" s="116"/>
      <c r="AD735" s="116"/>
      <c r="AE735" s="116"/>
      <c r="AF735" s="116"/>
      <c r="AG735" s="116"/>
      <c r="AH735" s="116"/>
      <c r="AI735" s="116"/>
    </row>
    <row r="736" spans="27:35" ht="18">
      <c r="AA736" s="116"/>
      <c r="AB736" s="87"/>
      <c r="AC736" s="116"/>
      <c r="AD736" s="116"/>
      <c r="AE736" s="116"/>
      <c r="AF736" s="116"/>
      <c r="AG736" s="116"/>
      <c r="AH736" s="116"/>
      <c r="AI736" s="116"/>
    </row>
    <row r="737" spans="27:35" ht="18">
      <c r="AA737" s="116"/>
      <c r="AB737" s="87"/>
      <c r="AC737" s="116"/>
      <c r="AD737" s="116"/>
      <c r="AE737" s="116"/>
      <c r="AF737" s="116"/>
      <c r="AG737" s="116"/>
      <c r="AH737" s="116"/>
      <c r="AI737" s="116"/>
    </row>
    <row r="738" spans="27:35" ht="18">
      <c r="AA738" s="116"/>
      <c r="AB738" s="87"/>
      <c r="AC738" s="116"/>
      <c r="AD738" s="116"/>
      <c r="AE738" s="116"/>
      <c r="AF738" s="116"/>
      <c r="AG738" s="116"/>
      <c r="AH738" s="116"/>
      <c r="AI738" s="116"/>
    </row>
    <row r="739" spans="27:35" ht="18">
      <c r="AA739" s="116"/>
      <c r="AB739" s="87"/>
      <c r="AC739" s="116"/>
      <c r="AD739" s="116"/>
      <c r="AE739" s="116"/>
      <c r="AF739" s="116"/>
      <c r="AG739" s="116"/>
      <c r="AH739" s="116"/>
      <c r="AI739" s="116"/>
    </row>
    <row r="740" spans="27:35" ht="18">
      <c r="AA740" s="116"/>
      <c r="AB740" s="87"/>
      <c r="AC740" s="116"/>
      <c r="AD740" s="116"/>
      <c r="AE740" s="116"/>
      <c r="AF740" s="116"/>
      <c r="AG740" s="116"/>
      <c r="AH740" s="116"/>
      <c r="AI740" s="116"/>
    </row>
    <row r="741" spans="27:35" ht="18">
      <c r="AA741" s="116"/>
      <c r="AB741" s="87"/>
      <c r="AC741" s="116"/>
      <c r="AD741" s="116"/>
      <c r="AE741" s="116"/>
      <c r="AF741" s="116"/>
      <c r="AG741" s="116"/>
      <c r="AH741" s="116"/>
      <c r="AI741" s="116"/>
    </row>
    <row r="742" spans="27:35" ht="18">
      <c r="AA742" s="116"/>
      <c r="AB742" s="87"/>
      <c r="AC742" s="116"/>
      <c r="AD742" s="116"/>
      <c r="AE742" s="116"/>
      <c r="AF742" s="116"/>
      <c r="AG742" s="116"/>
      <c r="AH742" s="116"/>
      <c r="AI742" s="116"/>
    </row>
    <row r="743" spans="27:35" ht="18">
      <c r="AA743" s="116"/>
      <c r="AB743" s="87"/>
      <c r="AC743" s="116"/>
      <c r="AD743" s="116"/>
      <c r="AE743" s="116"/>
      <c r="AF743" s="116"/>
      <c r="AG743" s="116"/>
      <c r="AH743" s="116"/>
      <c r="AI743" s="116"/>
    </row>
    <row r="744" spans="27:35" ht="18">
      <c r="AA744" s="116"/>
      <c r="AB744" s="87"/>
      <c r="AC744" s="116"/>
      <c r="AD744" s="116"/>
      <c r="AE744" s="116"/>
      <c r="AF744" s="116"/>
      <c r="AG744" s="116"/>
      <c r="AH744" s="116"/>
      <c r="AI744" s="116"/>
    </row>
    <row r="745" spans="27:35" ht="18">
      <c r="AA745" s="116"/>
      <c r="AB745" s="87"/>
      <c r="AC745" s="116"/>
      <c r="AD745" s="116"/>
      <c r="AE745" s="116"/>
      <c r="AF745" s="116"/>
      <c r="AG745" s="116"/>
      <c r="AH745" s="116"/>
      <c r="AI745" s="116"/>
    </row>
    <row r="746" spans="27:35" ht="18">
      <c r="AA746" s="116"/>
      <c r="AB746" s="87"/>
      <c r="AC746" s="116"/>
      <c r="AD746" s="116"/>
      <c r="AE746" s="116"/>
      <c r="AF746" s="116"/>
      <c r="AG746" s="116"/>
      <c r="AH746" s="116"/>
      <c r="AI746" s="116"/>
    </row>
    <row r="747" spans="27:35" ht="18">
      <c r="AA747" s="116"/>
      <c r="AB747" s="87"/>
      <c r="AC747" s="116"/>
      <c r="AD747" s="116"/>
      <c r="AE747" s="116"/>
      <c r="AF747" s="116"/>
      <c r="AG747" s="116"/>
      <c r="AH747" s="116"/>
      <c r="AI747" s="116"/>
    </row>
    <row r="748" spans="27:35" ht="18">
      <c r="AA748" s="116"/>
      <c r="AB748" s="87"/>
      <c r="AC748" s="116"/>
      <c r="AD748" s="116"/>
      <c r="AE748" s="116"/>
      <c r="AF748" s="116"/>
      <c r="AG748" s="116"/>
      <c r="AH748" s="116"/>
      <c r="AI748" s="116"/>
    </row>
    <row r="749" spans="27:35" ht="18">
      <c r="AA749" s="116"/>
      <c r="AB749" s="87"/>
      <c r="AC749" s="116"/>
      <c r="AD749" s="116"/>
      <c r="AE749" s="116"/>
      <c r="AF749" s="116"/>
      <c r="AG749" s="116"/>
      <c r="AH749" s="116"/>
      <c r="AI749" s="116"/>
    </row>
    <row r="750" spans="27:35" ht="18">
      <c r="AA750" s="116"/>
      <c r="AB750" s="87"/>
      <c r="AC750" s="116"/>
      <c r="AD750" s="116"/>
      <c r="AE750" s="116"/>
      <c r="AF750" s="116"/>
      <c r="AG750" s="116"/>
      <c r="AH750" s="116"/>
      <c r="AI750" s="116"/>
    </row>
    <row r="751" spans="27:35" ht="18">
      <c r="AA751" s="116"/>
      <c r="AB751" s="87"/>
      <c r="AC751" s="116"/>
      <c r="AD751" s="116"/>
      <c r="AE751" s="116"/>
      <c r="AF751" s="116"/>
      <c r="AG751" s="116"/>
      <c r="AH751" s="116"/>
      <c r="AI751" s="116"/>
    </row>
    <row r="752" spans="27:35" ht="18">
      <c r="AA752" s="116"/>
      <c r="AB752" s="87"/>
      <c r="AC752" s="116"/>
      <c r="AD752" s="116"/>
      <c r="AE752" s="116"/>
      <c r="AF752" s="116"/>
      <c r="AG752" s="116"/>
      <c r="AH752" s="116"/>
      <c r="AI752" s="116"/>
    </row>
    <row r="753" spans="27:35" ht="18">
      <c r="AA753" s="116"/>
      <c r="AB753" s="87"/>
      <c r="AC753" s="116"/>
      <c r="AD753" s="116"/>
      <c r="AE753" s="116"/>
      <c r="AF753" s="116"/>
      <c r="AG753" s="116"/>
      <c r="AH753" s="116"/>
      <c r="AI753" s="116"/>
    </row>
    <row r="754" spans="27:35" ht="18">
      <c r="AA754" s="116"/>
      <c r="AB754" s="87"/>
      <c r="AC754" s="116"/>
      <c r="AD754" s="116"/>
      <c r="AE754" s="116"/>
      <c r="AF754" s="116"/>
      <c r="AG754" s="116"/>
      <c r="AH754" s="116"/>
      <c r="AI754" s="116"/>
    </row>
    <row r="755" spans="27:35" ht="18">
      <c r="AA755" s="116"/>
      <c r="AB755" s="87"/>
      <c r="AC755" s="116"/>
      <c r="AD755" s="116"/>
      <c r="AE755" s="116"/>
      <c r="AF755" s="116"/>
      <c r="AG755" s="116"/>
      <c r="AH755" s="116"/>
      <c r="AI755" s="116"/>
    </row>
    <row r="756" spans="27:35" ht="18">
      <c r="AA756" s="116"/>
      <c r="AB756" s="87"/>
      <c r="AC756" s="116"/>
      <c r="AD756" s="116"/>
      <c r="AE756" s="116"/>
      <c r="AF756" s="116"/>
      <c r="AG756" s="116"/>
      <c r="AH756" s="116"/>
      <c r="AI756" s="116"/>
    </row>
    <row r="757" spans="27:35" ht="18">
      <c r="AA757" s="116"/>
      <c r="AB757" s="87"/>
      <c r="AC757" s="116"/>
      <c r="AD757" s="116"/>
      <c r="AE757" s="116"/>
      <c r="AF757" s="116"/>
      <c r="AG757" s="116"/>
      <c r="AH757" s="116"/>
      <c r="AI757" s="116"/>
    </row>
    <row r="758" spans="27:35" ht="18">
      <c r="AA758" s="116"/>
      <c r="AB758" s="87"/>
      <c r="AC758" s="116"/>
      <c r="AD758" s="116"/>
      <c r="AE758" s="116"/>
      <c r="AF758" s="116"/>
      <c r="AG758" s="116"/>
      <c r="AH758" s="116"/>
      <c r="AI758" s="116"/>
    </row>
    <row r="759" spans="27:35" ht="18">
      <c r="AA759" s="116"/>
      <c r="AB759" s="87"/>
      <c r="AC759" s="116"/>
      <c r="AD759" s="116"/>
      <c r="AE759" s="116"/>
      <c r="AF759" s="116"/>
      <c r="AG759" s="116"/>
      <c r="AH759" s="116"/>
      <c r="AI759" s="116"/>
    </row>
    <row r="760" spans="27:35" ht="18">
      <c r="AA760" s="116"/>
      <c r="AB760" s="87"/>
      <c r="AC760" s="116"/>
      <c r="AD760" s="116"/>
      <c r="AE760" s="116"/>
      <c r="AF760" s="116"/>
      <c r="AG760" s="116"/>
      <c r="AH760" s="116"/>
      <c r="AI760" s="116"/>
    </row>
    <row r="761" spans="27:35" ht="18">
      <c r="AA761" s="116"/>
      <c r="AB761" s="87"/>
      <c r="AC761" s="116"/>
      <c r="AD761" s="116"/>
      <c r="AE761" s="116"/>
      <c r="AF761" s="116"/>
      <c r="AG761" s="116"/>
      <c r="AH761" s="116"/>
      <c r="AI761" s="116"/>
    </row>
    <row r="762" spans="27:35" ht="18">
      <c r="AA762" s="116"/>
      <c r="AB762" s="87"/>
      <c r="AC762" s="116"/>
      <c r="AD762" s="116"/>
      <c r="AE762" s="116"/>
      <c r="AF762" s="116"/>
      <c r="AG762" s="116"/>
      <c r="AH762" s="116"/>
      <c r="AI762" s="116"/>
    </row>
    <row r="763" spans="27:35" ht="18">
      <c r="AA763" s="116"/>
      <c r="AB763" s="87"/>
      <c r="AC763" s="116"/>
      <c r="AD763" s="116"/>
      <c r="AE763" s="116"/>
      <c r="AF763" s="116"/>
      <c r="AG763" s="116"/>
      <c r="AH763" s="116"/>
      <c r="AI763" s="116"/>
    </row>
    <row r="764" spans="27:35" ht="18">
      <c r="AA764" s="116"/>
      <c r="AB764" s="87"/>
      <c r="AC764" s="116"/>
      <c r="AD764" s="116"/>
      <c r="AE764" s="116"/>
      <c r="AF764" s="116"/>
      <c r="AG764" s="116"/>
      <c r="AH764" s="116"/>
      <c r="AI764" s="116"/>
    </row>
    <row r="765" spans="27:35" ht="18">
      <c r="AA765" s="116"/>
      <c r="AB765" s="87"/>
      <c r="AC765" s="116"/>
      <c r="AD765" s="116"/>
      <c r="AE765" s="116"/>
      <c r="AF765" s="116"/>
      <c r="AG765" s="116"/>
      <c r="AH765" s="116"/>
      <c r="AI765" s="116"/>
    </row>
    <row r="766" spans="27:35" ht="18">
      <c r="AA766" s="116"/>
      <c r="AB766" s="87"/>
      <c r="AC766" s="116"/>
      <c r="AD766" s="116"/>
      <c r="AE766" s="116"/>
      <c r="AF766" s="116"/>
      <c r="AG766" s="116"/>
      <c r="AH766" s="116"/>
      <c r="AI766" s="116"/>
    </row>
    <row r="767" spans="27:35" ht="18">
      <c r="AA767" s="116"/>
      <c r="AB767" s="87"/>
      <c r="AC767" s="116"/>
      <c r="AD767" s="116"/>
      <c r="AE767" s="116"/>
      <c r="AF767" s="116"/>
      <c r="AG767" s="116"/>
      <c r="AH767" s="116"/>
      <c r="AI767" s="116"/>
    </row>
    <row r="768" spans="27:35" ht="18">
      <c r="AA768" s="116"/>
      <c r="AB768" s="87"/>
      <c r="AC768" s="116"/>
      <c r="AD768" s="116"/>
      <c r="AE768" s="116"/>
      <c r="AF768" s="116"/>
      <c r="AG768" s="116"/>
      <c r="AH768" s="116"/>
      <c r="AI768" s="116"/>
    </row>
    <row r="769" spans="27:35" ht="18">
      <c r="AA769" s="116"/>
      <c r="AB769" s="87"/>
      <c r="AC769" s="116"/>
      <c r="AD769" s="116"/>
      <c r="AE769" s="116"/>
      <c r="AF769" s="116"/>
      <c r="AG769" s="116"/>
      <c r="AH769" s="116"/>
      <c r="AI769" s="116"/>
    </row>
    <row r="770" spans="27:35" ht="18">
      <c r="AA770" s="116"/>
      <c r="AB770" s="87"/>
      <c r="AC770" s="116"/>
      <c r="AD770" s="116"/>
      <c r="AE770" s="116"/>
      <c r="AF770" s="116"/>
      <c r="AG770" s="116"/>
      <c r="AH770" s="116"/>
      <c r="AI770" s="116"/>
    </row>
    <row r="771" spans="27:35" ht="18">
      <c r="AA771" s="116"/>
      <c r="AB771" s="87"/>
      <c r="AC771" s="116"/>
      <c r="AD771" s="116"/>
      <c r="AE771" s="116"/>
      <c r="AF771" s="116"/>
      <c r="AG771" s="116"/>
      <c r="AH771" s="116"/>
      <c r="AI771" s="116"/>
    </row>
    <row r="772" spans="27:35" ht="18">
      <c r="AA772" s="116"/>
      <c r="AB772" s="87"/>
      <c r="AC772" s="116"/>
      <c r="AD772" s="116"/>
      <c r="AE772" s="116"/>
      <c r="AF772" s="116"/>
      <c r="AG772" s="116"/>
      <c r="AH772" s="116"/>
      <c r="AI772" s="116"/>
    </row>
    <row r="773" spans="27:35" ht="18">
      <c r="AA773" s="116"/>
      <c r="AB773" s="87"/>
      <c r="AC773" s="116"/>
      <c r="AD773" s="116"/>
      <c r="AE773" s="116"/>
      <c r="AF773" s="116"/>
      <c r="AG773" s="116"/>
      <c r="AH773" s="116"/>
      <c r="AI773" s="116"/>
    </row>
    <row r="774" spans="27:35" ht="18">
      <c r="AA774" s="116"/>
      <c r="AB774" s="87"/>
      <c r="AC774" s="116"/>
      <c r="AD774" s="116"/>
      <c r="AE774" s="116"/>
      <c r="AF774" s="116"/>
      <c r="AG774" s="116"/>
      <c r="AH774" s="116"/>
      <c r="AI774" s="116"/>
    </row>
    <row r="775" spans="27:35" ht="18">
      <c r="AA775" s="116"/>
      <c r="AB775" s="87"/>
      <c r="AC775" s="116"/>
      <c r="AD775" s="116"/>
      <c r="AE775" s="116"/>
      <c r="AF775" s="116"/>
      <c r="AG775" s="116"/>
      <c r="AH775" s="116"/>
      <c r="AI775" s="116"/>
    </row>
    <row r="776" spans="27:35" ht="18">
      <c r="AA776" s="116"/>
      <c r="AB776" s="87"/>
      <c r="AC776" s="116"/>
      <c r="AD776" s="116"/>
      <c r="AE776" s="116"/>
      <c r="AF776" s="116"/>
      <c r="AG776" s="116"/>
      <c r="AH776" s="116"/>
      <c r="AI776" s="116"/>
    </row>
    <row r="777" spans="27:35" ht="18">
      <c r="AA777" s="116"/>
      <c r="AB777" s="87"/>
      <c r="AC777" s="116"/>
      <c r="AD777" s="116"/>
      <c r="AE777" s="116"/>
      <c r="AF777" s="116"/>
      <c r="AG777" s="116"/>
      <c r="AH777" s="116"/>
      <c r="AI777" s="116"/>
    </row>
    <row r="778" spans="27:35" ht="18">
      <c r="AA778" s="116"/>
      <c r="AB778" s="87"/>
      <c r="AC778" s="116"/>
      <c r="AD778" s="116"/>
      <c r="AE778" s="116"/>
      <c r="AF778" s="116"/>
      <c r="AG778" s="116"/>
      <c r="AH778" s="116"/>
      <c r="AI778" s="116"/>
    </row>
    <row r="779" spans="27:35" ht="18">
      <c r="AA779" s="116"/>
      <c r="AB779" s="184"/>
      <c r="AC779" s="116"/>
      <c r="AD779" s="116"/>
      <c r="AE779" s="116"/>
      <c r="AF779" s="116"/>
      <c r="AG779" s="116"/>
      <c r="AH779" s="116"/>
      <c r="AI779" s="116"/>
    </row>
    <row r="780" spans="27:35" ht="18">
      <c r="AA780" s="116"/>
      <c r="AB780" s="184"/>
      <c r="AC780" s="116"/>
      <c r="AD780" s="116"/>
      <c r="AE780" s="116"/>
      <c r="AF780" s="116"/>
      <c r="AG780" s="116"/>
      <c r="AH780" s="116"/>
      <c r="AI780" s="116"/>
    </row>
    <row r="781" spans="27:35" ht="18">
      <c r="AA781" s="116"/>
      <c r="AB781" s="184"/>
      <c r="AC781" s="116"/>
      <c r="AD781" s="116"/>
      <c r="AE781" s="116"/>
      <c r="AF781" s="116"/>
      <c r="AG781" s="116"/>
      <c r="AH781" s="116"/>
      <c r="AI781" s="116"/>
    </row>
    <row r="782" spans="27:35" ht="18">
      <c r="AA782" s="116"/>
      <c r="AB782" s="87"/>
      <c r="AC782" s="116"/>
      <c r="AD782" s="116"/>
      <c r="AE782" s="116"/>
      <c r="AF782" s="116"/>
      <c r="AG782" s="116"/>
      <c r="AH782" s="116"/>
      <c r="AI782" s="116"/>
    </row>
    <row r="783" spans="27:35" ht="18">
      <c r="AA783" s="116"/>
      <c r="AB783" s="87"/>
      <c r="AC783" s="116"/>
      <c r="AD783" s="116"/>
      <c r="AE783" s="116"/>
      <c r="AF783" s="116"/>
      <c r="AG783" s="116"/>
      <c r="AH783" s="116"/>
      <c r="AI783" s="116"/>
    </row>
    <row r="784" spans="27:35" ht="18">
      <c r="AA784" s="116"/>
      <c r="AB784" s="87"/>
      <c r="AC784" s="116"/>
      <c r="AD784" s="116"/>
      <c r="AE784" s="116"/>
      <c r="AF784" s="116"/>
      <c r="AG784" s="116"/>
      <c r="AH784" s="116"/>
      <c r="AI784" s="116"/>
    </row>
    <row r="785" spans="27:35" ht="18">
      <c r="AA785" s="116"/>
      <c r="AB785" s="184"/>
      <c r="AC785" s="116"/>
      <c r="AD785" s="116"/>
      <c r="AE785" s="116"/>
      <c r="AF785" s="116"/>
      <c r="AG785" s="116"/>
      <c r="AH785" s="116"/>
      <c r="AI785" s="116"/>
    </row>
    <row r="786" spans="27:35" ht="18">
      <c r="AA786" s="116"/>
      <c r="AB786" s="184"/>
      <c r="AC786" s="116"/>
      <c r="AD786" s="116"/>
      <c r="AE786" s="116"/>
      <c r="AF786" s="116"/>
      <c r="AG786" s="116"/>
      <c r="AH786" s="116"/>
      <c r="AI786" s="116"/>
    </row>
    <row r="787" spans="27:35" ht="18">
      <c r="AA787" s="116"/>
      <c r="AB787" s="184"/>
      <c r="AC787" s="116"/>
      <c r="AD787" s="116"/>
      <c r="AE787" s="116"/>
      <c r="AF787" s="116"/>
      <c r="AG787" s="116"/>
      <c r="AH787" s="116"/>
      <c r="AI787" s="116"/>
    </row>
    <row r="788" spans="27:35" ht="18">
      <c r="AA788" s="116"/>
      <c r="AB788" s="87"/>
      <c r="AC788" s="116"/>
      <c r="AD788" s="116"/>
      <c r="AE788" s="116"/>
      <c r="AF788" s="116"/>
      <c r="AG788" s="116"/>
      <c r="AH788" s="116"/>
      <c r="AI788" s="116"/>
    </row>
    <row r="789" spans="27:35" ht="18">
      <c r="AA789" s="116"/>
      <c r="AB789" s="87"/>
      <c r="AC789" s="116"/>
      <c r="AD789" s="116"/>
      <c r="AE789" s="116"/>
      <c r="AF789" s="116"/>
      <c r="AG789" s="116"/>
      <c r="AH789" s="116"/>
      <c r="AI789" s="116"/>
    </row>
    <row r="790" spans="27:35" ht="18">
      <c r="AA790" s="116"/>
      <c r="AB790" s="184"/>
      <c r="AC790" s="116"/>
      <c r="AD790" s="116"/>
      <c r="AE790" s="116"/>
      <c r="AF790" s="116"/>
      <c r="AG790" s="116"/>
      <c r="AH790" s="116"/>
      <c r="AI790" s="116"/>
    </row>
    <row r="791" spans="27:35" ht="18">
      <c r="AA791" s="116"/>
      <c r="AB791" s="87"/>
      <c r="AC791" s="116"/>
      <c r="AD791" s="116"/>
      <c r="AE791" s="116"/>
      <c r="AF791" s="116"/>
      <c r="AG791" s="116"/>
      <c r="AH791" s="116"/>
      <c r="AI791" s="116"/>
    </row>
    <row r="792" spans="27:35" ht="18">
      <c r="AA792" s="116"/>
      <c r="AB792" s="87"/>
      <c r="AC792" s="116"/>
      <c r="AD792" s="116"/>
      <c r="AE792" s="116"/>
      <c r="AF792" s="116"/>
      <c r="AG792" s="116"/>
      <c r="AH792" s="116"/>
      <c r="AI792" s="116"/>
    </row>
    <row r="793" spans="27:35" ht="18">
      <c r="AA793" s="116"/>
      <c r="AB793" s="184"/>
      <c r="AC793" s="116"/>
      <c r="AD793" s="116"/>
      <c r="AE793" s="116"/>
      <c r="AF793" s="116"/>
      <c r="AG793" s="116"/>
      <c r="AH793" s="116"/>
      <c r="AI793" s="116"/>
    </row>
    <row r="794" spans="27:35" ht="18">
      <c r="AA794" s="116"/>
      <c r="AB794" s="87"/>
      <c r="AC794" s="116"/>
      <c r="AD794" s="116"/>
      <c r="AE794" s="116"/>
      <c r="AF794" s="116"/>
      <c r="AG794" s="116"/>
      <c r="AH794" s="116"/>
      <c r="AI794" s="116"/>
    </row>
    <row r="795" spans="27:35" ht="18">
      <c r="AA795" s="116"/>
      <c r="AB795" s="87"/>
      <c r="AC795" s="116"/>
      <c r="AD795" s="116"/>
      <c r="AE795" s="116"/>
      <c r="AF795" s="116"/>
      <c r="AG795" s="116"/>
      <c r="AH795" s="116"/>
      <c r="AI795" s="116"/>
    </row>
    <row r="796" spans="27:35" ht="18">
      <c r="AA796" s="116"/>
      <c r="AB796" s="184"/>
      <c r="AC796" s="116"/>
      <c r="AD796" s="116"/>
      <c r="AE796" s="116"/>
      <c r="AF796" s="116"/>
      <c r="AG796" s="116"/>
      <c r="AH796" s="116"/>
      <c r="AI796" s="116"/>
    </row>
    <row r="797" spans="27:35" ht="18">
      <c r="AA797" s="116"/>
      <c r="AB797" s="87"/>
      <c r="AC797" s="116"/>
      <c r="AD797" s="116"/>
      <c r="AE797" s="116"/>
      <c r="AF797" s="116"/>
      <c r="AG797" s="116"/>
      <c r="AH797" s="116"/>
      <c r="AI797" s="116"/>
    </row>
    <row r="798" spans="27:35" ht="18">
      <c r="AA798" s="116"/>
      <c r="AB798" s="87"/>
      <c r="AC798" s="116"/>
      <c r="AD798" s="116"/>
      <c r="AE798" s="116"/>
      <c r="AF798" s="116"/>
      <c r="AG798" s="116"/>
      <c r="AH798" s="116"/>
      <c r="AI798" s="116"/>
    </row>
    <row r="799" spans="27:35" ht="18">
      <c r="AA799" s="116"/>
      <c r="AB799" s="184"/>
      <c r="AC799" s="116"/>
      <c r="AD799" s="116"/>
      <c r="AE799" s="116"/>
      <c r="AF799" s="116"/>
      <c r="AG799" s="116"/>
      <c r="AH799" s="116"/>
      <c r="AI799" s="116"/>
    </row>
    <row r="800" spans="27:35" ht="18">
      <c r="AA800" s="116"/>
      <c r="AB800" s="87"/>
      <c r="AC800" s="116"/>
      <c r="AD800" s="116"/>
      <c r="AE800" s="116"/>
      <c r="AF800" s="116"/>
      <c r="AG800" s="116"/>
      <c r="AH800" s="116"/>
      <c r="AI800" s="116"/>
    </row>
    <row r="801" spans="27:35" ht="18">
      <c r="AA801" s="116"/>
      <c r="AB801" s="87"/>
      <c r="AC801" s="116"/>
      <c r="AD801" s="116"/>
      <c r="AE801" s="116"/>
      <c r="AF801" s="116"/>
      <c r="AG801" s="116"/>
      <c r="AH801" s="116"/>
      <c r="AI801" s="116"/>
    </row>
    <row r="802" spans="27:35" ht="18">
      <c r="AA802" s="116"/>
      <c r="AB802" s="87"/>
      <c r="AC802" s="116"/>
      <c r="AD802" s="116"/>
      <c r="AE802" s="116"/>
      <c r="AF802" s="116"/>
      <c r="AG802" s="116"/>
      <c r="AH802" s="116"/>
      <c r="AI802" s="116"/>
    </row>
    <row r="803" spans="27:35" ht="18">
      <c r="AA803" s="116"/>
      <c r="AB803" s="87"/>
      <c r="AC803" s="116"/>
      <c r="AD803" s="116"/>
      <c r="AE803" s="116"/>
      <c r="AF803" s="116"/>
      <c r="AG803" s="116"/>
      <c r="AH803" s="116"/>
      <c r="AI803" s="116"/>
    </row>
    <row r="804" spans="27:35" ht="18">
      <c r="AA804" s="116"/>
      <c r="AB804" s="87"/>
      <c r="AC804" s="116"/>
      <c r="AD804" s="116"/>
      <c r="AE804" s="116"/>
      <c r="AF804" s="116"/>
      <c r="AG804" s="116"/>
      <c r="AH804" s="116"/>
      <c r="AI804" s="116"/>
    </row>
    <row r="805" spans="27:35" ht="18">
      <c r="AA805" s="116"/>
      <c r="AB805" s="184"/>
      <c r="AC805" s="116"/>
      <c r="AD805" s="116"/>
      <c r="AE805" s="116"/>
      <c r="AF805" s="116"/>
      <c r="AG805" s="116"/>
      <c r="AH805" s="116"/>
      <c r="AI805" s="116"/>
    </row>
    <row r="806" spans="27:35" ht="18">
      <c r="AA806" s="116"/>
      <c r="AB806" s="184"/>
      <c r="AC806" s="116"/>
      <c r="AD806" s="116"/>
      <c r="AE806" s="116"/>
      <c r="AF806" s="116"/>
      <c r="AG806" s="116"/>
      <c r="AH806" s="116"/>
      <c r="AI806" s="116"/>
    </row>
    <row r="807" spans="27:35" ht="18">
      <c r="AA807" s="116"/>
      <c r="AB807" s="87"/>
      <c r="AC807" s="116"/>
      <c r="AD807" s="116"/>
      <c r="AE807" s="116"/>
      <c r="AF807" s="116"/>
      <c r="AG807" s="116"/>
      <c r="AH807" s="116"/>
      <c r="AI807" s="116"/>
    </row>
    <row r="808" spans="27:35" ht="18">
      <c r="AA808" s="116"/>
      <c r="AB808" s="87"/>
      <c r="AC808" s="116"/>
      <c r="AD808" s="116"/>
      <c r="AE808" s="116"/>
      <c r="AF808" s="116"/>
      <c r="AG808" s="116"/>
      <c r="AH808" s="116"/>
      <c r="AI808" s="116"/>
    </row>
    <row r="809" spans="27:35" ht="18">
      <c r="AA809" s="116"/>
      <c r="AB809" s="87"/>
      <c r="AC809" s="116"/>
      <c r="AD809" s="116"/>
      <c r="AE809" s="116"/>
      <c r="AF809" s="116"/>
      <c r="AG809" s="116"/>
      <c r="AH809" s="116"/>
      <c r="AI809" s="116"/>
    </row>
    <row r="810" spans="27:35" ht="18">
      <c r="AA810" s="116"/>
      <c r="AB810" s="87"/>
      <c r="AC810" s="116"/>
      <c r="AD810" s="116"/>
      <c r="AE810" s="116"/>
      <c r="AF810" s="116"/>
      <c r="AG810" s="116"/>
      <c r="AH810" s="116"/>
      <c r="AI810" s="116"/>
    </row>
    <row r="811" spans="27:35" ht="18">
      <c r="AA811" s="116"/>
      <c r="AB811" s="87"/>
      <c r="AC811" s="116"/>
      <c r="AD811" s="116"/>
      <c r="AE811" s="116"/>
      <c r="AF811" s="116"/>
      <c r="AG811" s="116"/>
      <c r="AH811" s="116"/>
      <c r="AI811" s="116"/>
    </row>
    <row r="812" spans="27:35" ht="18">
      <c r="AA812" s="116"/>
      <c r="AB812" s="87"/>
      <c r="AC812" s="116"/>
      <c r="AD812" s="116"/>
      <c r="AE812" s="116"/>
      <c r="AF812" s="116"/>
      <c r="AG812" s="116"/>
      <c r="AH812" s="116"/>
      <c r="AI812" s="116"/>
    </row>
    <row r="813" spans="27:35" ht="18">
      <c r="AA813" s="116"/>
      <c r="AB813" s="87"/>
      <c r="AC813" s="116"/>
      <c r="AD813" s="116"/>
      <c r="AE813" s="116"/>
      <c r="AF813" s="116"/>
      <c r="AG813" s="116"/>
      <c r="AH813" s="116"/>
      <c r="AI813" s="116"/>
    </row>
    <row r="814" spans="27:35" ht="18">
      <c r="AA814" s="116"/>
      <c r="AB814" s="87"/>
      <c r="AC814" s="116"/>
      <c r="AD814" s="116"/>
      <c r="AE814" s="116"/>
      <c r="AF814" s="116"/>
      <c r="AG814" s="116"/>
      <c r="AH814" s="116"/>
      <c r="AI814" s="116"/>
    </row>
    <row r="815" spans="27:35" ht="18">
      <c r="AA815" s="116"/>
      <c r="AB815" s="87"/>
      <c r="AC815" s="116"/>
      <c r="AD815" s="116"/>
      <c r="AE815" s="116"/>
      <c r="AF815" s="116"/>
      <c r="AG815" s="116"/>
      <c r="AH815" s="116"/>
      <c r="AI815" s="116"/>
    </row>
    <row r="816" spans="27:35" ht="18">
      <c r="AA816" s="116"/>
      <c r="AB816" s="87"/>
      <c r="AC816" s="116"/>
      <c r="AD816" s="116"/>
      <c r="AE816" s="116"/>
      <c r="AF816" s="116"/>
      <c r="AG816" s="116"/>
      <c r="AH816" s="116"/>
      <c r="AI816" s="116"/>
    </row>
    <row r="817" spans="27:35" ht="18">
      <c r="AA817" s="116"/>
      <c r="AB817" s="87"/>
      <c r="AC817" s="116"/>
      <c r="AD817" s="116"/>
      <c r="AE817" s="116"/>
      <c r="AF817" s="116"/>
      <c r="AG817" s="116"/>
      <c r="AH817" s="116"/>
      <c r="AI817" s="116"/>
    </row>
    <row r="818" spans="27:35" ht="18">
      <c r="AA818" s="116"/>
      <c r="AB818" s="87"/>
      <c r="AC818" s="116"/>
      <c r="AD818" s="116"/>
      <c r="AE818" s="116"/>
      <c r="AF818" s="116"/>
      <c r="AG818" s="116"/>
      <c r="AH818" s="116"/>
      <c r="AI818" s="116"/>
    </row>
    <row r="819" spans="27:35" ht="18">
      <c r="AA819" s="116"/>
      <c r="AB819" s="87"/>
      <c r="AC819" s="116"/>
      <c r="AD819" s="116"/>
      <c r="AE819" s="116"/>
      <c r="AF819" s="116"/>
      <c r="AG819" s="116"/>
      <c r="AH819" s="116"/>
      <c r="AI819" s="116"/>
    </row>
    <row r="820" spans="27:35" ht="18">
      <c r="AA820" s="116"/>
      <c r="AB820" s="87"/>
      <c r="AC820" s="116"/>
      <c r="AD820" s="116"/>
      <c r="AE820" s="116"/>
      <c r="AF820" s="116"/>
      <c r="AG820" s="116"/>
      <c r="AH820" s="116"/>
      <c r="AI820" s="116"/>
    </row>
    <row r="821" spans="27:35" ht="18">
      <c r="AA821" s="116"/>
      <c r="AB821" s="87"/>
      <c r="AC821" s="116"/>
      <c r="AD821" s="116"/>
      <c r="AE821" s="116"/>
      <c r="AF821" s="116"/>
      <c r="AG821" s="116"/>
      <c r="AH821" s="116"/>
      <c r="AI821" s="116"/>
    </row>
    <row r="822" spans="27:35" ht="18">
      <c r="AA822" s="116"/>
      <c r="AB822" s="87"/>
      <c r="AC822" s="116"/>
      <c r="AD822" s="116"/>
      <c r="AE822" s="116"/>
      <c r="AF822" s="116"/>
      <c r="AG822" s="116"/>
      <c r="AH822" s="116"/>
      <c r="AI822" s="116"/>
    </row>
    <row r="823" spans="27:35" ht="18">
      <c r="AA823" s="116"/>
      <c r="AB823" s="87"/>
      <c r="AC823" s="116"/>
      <c r="AD823" s="116"/>
      <c r="AE823" s="116"/>
      <c r="AF823" s="116"/>
      <c r="AG823" s="116"/>
      <c r="AH823" s="116"/>
      <c r="AI823" s="116"/>
    </row>
    <row r="824" spans="27:35" ht="18">
      <c r="AA824" s="116"/>
      <c r="AB824" s="87"/>
      <c r="AC824" s="116"/>
      <c r="AD824" s="116"/>
      <c r="AE824" s="116"/>
      <c r="AF824" s="116"/>
      <c r="AG824" s="116"/>
      <c r="AH824" s="116"/>
      <c r="AI824" s="116"/>
    </row>
    <row r="825" spans="27:35" ht="18">
      <c r="AA825" s="116"/>
      <c r="AB825" s="87"/>
      <c r="AC825" s="116"/>
      <c r="AD825" s="116"/>
      <c r="AE825" s="116"/>
      <c r="AF825" s="116"/>
      <c r="AG825" s="116"/>
      <c r="AH825" s="116"/>
      <c r="AI825" s="116"/>
    </row>
    <row r="826" spans="27:35" ht="18">
      <c r="AA826" s="116"/>
      <c r="AB826" s="87"/>
      <c r="AC826" s="116"/>
      <c r="AD826" s="116"/>
      <c r="AE826" s="116"/>
      <c r="AF826" s="116"/>
      <c r="AG826" s="116"/>
      <c r="AH826" s="116"/>
      <c r="AI826" s="116"/>
    </row>
    <row r="827" spans="27:35" ht="18">
      <c r="AA827" s="116"/>
      <c r="AB827" s="87"/>
      <c r="AC827" s="116"/>
      <c r="AD827" s="116"/>
      <c r="AE827" s="116"/>
      <c r="AF827" s="116"/>
      <c r="AG827" s="116"/>
      <c r="AH827" s="116"/>
      <c r="AI827" s="116"/>
    </row>
    <row r="828" spans="27:35" ht="18">
      <c r="AA828" s="116"/>
      <c r="AB828" s="87"/>
      <c r="AC828" s="116"/>
      <c r="AD828" s="116"/>
      <c r="AE828" s="116"/>
      <c r="AF828" s="116"/>
      <c r="AG828" s="116"/>
      <c r="AH828" s="116"/>
      <c r="AI828" s="116"/>
    </row>
    <row r="829" spans="27:35" ht="18">
      <c r="AA829" s="116"/>
      <c r="AB829" s="87"/>
      <c r="AC829" s="116"/>
      <c r="AD829" s="116"/>
      <c r="AE829" s="116"/>
      <c r="AF829" s="116"/>
      <c r="AG829" s="116"/>
      <c r="AH829" s="116"/>
      <c r="AI829" s="116"/>
    </row>
    <row r="830" spans="27:35" ht="18">
      <c r="AA830" s="116"/>
      <c r="AB830" s="87"/>
      <c r="AC830" s="116"/>
      <c r="AD830" s="116"/>
      <c r="AE830" s="116"/>
      <c r="AF830" s="116"/>
      <c r="AG830" s="116"/>
      <c r="AH830" s="116"/>
      <c r="AI830" s="116"/>
    </row>
    <row r="831" spans="27:35" ht="18">
      <c r="AA831" s="116"/>
      <c r="AB831" s="87"/>
      <c r="AC831" s="116"/>
      <c r="AD831" s="116"/>
      <c r="AE831" s="116"/>
      <c r="AF831" s="116"/>
      <c r="AG831" s="116"/>
      <c r="AH831" s="116"/>
      <c r="AI831" s="116"/>
    </row>
    <row r="832" spans="27:35" ht="18">
      <c r="AA832" s="116"/>
      <c r="AB832" s="87"/>
      <c r="AC832" s="116"/>
      <c r="AD832" s="116"/>
      <c r="AE832" s="116"/>
      <c r="AF832" s="116"/>
      <c r="AG832" s="116"/>
      <c r="AH832" s="116"/>
      <c r="AI832" s="116"/>
    </row>
    <row r="833" spans="27:35" ht="18">
      <c r="AA833" s="116"/>
      <c r="AB833" s="87"/>
      <c r="AC833" s="116"/>
      <c r="AD833" s="116"/>
      <c r="AE833" s="116"/>
      <c r="AF833" s="116"/>
      <c r="AG833" s="116"/>
      <c r="AH833" s="116"/>
      <c r="AI833" s="116"/>
    </row>
    <row r="834" spans="27:35" ht="18">
      <c r="AA834" s="116"/>
      <c r="AB834" s="87"/>
      <c r="AC834" s="116"/>
      <c r="AD834" s="116"/>
      <c r="AE834" s="116"/>
      <c r="AF834" s="116"/>
      <c r="AG834" s="116"/>
      <c r="AH834" s="116"/>
      <c r="AI834" s="116"/>
    </row>
    <row r="835" spans="27:35" ht="18">
      <c r="AA835" s="116"/>
      <c r="AB835" s="87"/>
      <c r="AC835" s="116"/>
      <c r="AD835" s="116"/>
      <c r="AE835" s="116"/>
      <c r="AF835" s="116"/>
      <c r="AG835" s="116"/>
      <c r="AH835" s="116"/>
      <c r="AI835" s="116"/>
    </row>
    <row r="836" spans="27:35" ht="18">
      <c r="AA836" s="116"/>
      <c r="AB836" s="87"/>
      <c r="AC836" s="116"/>
      <c r="AD836" s="116"/>
      <c r="AE836" s="116"/>
      <c r="AF836" s="116"/>
      <c r="AG836" s="116"/>
      <c r="AH836" s="116"/>
      <c r="AI836" s="116"/>
    </row>
    <row r="837" spans="27:35" ht="18">
      <c r="AA837" s="116"/>
      <c r="AB837" s="87"/>
      <c r="AC837" s="116"/>
      <c r="AD837" s="116"/>
      <c r="AE837" s="116"/>
      <c r="AF837" s="116"/>
      <c r="AG837" s="116"/>
      <c r="AH837" s="116"/>
      <c r="AI837" s="116"/>
    </row>
    <row r="838" spans="27:35" ht="18">
      <c r="AA838" s="116"/>
      <c r="AB838" s="87"/>
      <c r="AC838" s="116"/>
      <c r="AD838" s="116"/>
      <c r="AE838" s="116"/>
      <c r="AF838" s="116"/>
      <c r="AG838" s="116"/>
      <c r="AH838" s="116"/>
      <c r="AI838" s="116"/>
    </row>
    <row r="839" spans="27:35" ht="18">
      <c r="AA839" s="116"/>
      <c r="AB839" s="87"/>
      <c r="AC839" s="116"/>
      <c r="AD839" s="116"/>
      <c r="AE839" s="116"/>
      <c r="AF839" s="116"/>
      <c r="AG839" s="116"/>
      <c r="AH839" s="116"/>
      <c r="AI839" s="116"/>
    </row>
    <row r="840" spans="27:35" ht="18">
      <c r="AA840" s="116"/>
      <c r="AB840" s="87"/>
      <c r="AC840" s="116"/>
      <c r="AD840" s="116"/>
      <c r="AE840" s="116"/>
      <c r="AF840" s="116"/>
      <c r="AG840" s="116"/>
      <c r="AH840" s="116"/>
      <c r="AI840" s="116"/>
    </row>
    <row r="841" spans="27:35" ht="18">
      <c r="AA841" s="116"/>
      <c r="AB841" s="87"/>
      <c r="AC841" s="116"/>
      <c r="AD841" s="116"/>
      <c r="AE841" s="116"/>
      <c r="AF841" s="116"/>
      <c r="AG841" s="116"/>
      <c r="AH841" s="116"/>
      <c r="AI841" s="116"/>
    </row>
    <row r="842" spans="27:35" ht="18">
      <c r="AA842" s="116"/>
      <c r="AB842" s="87"/>
      <c r="AC842" s="116"/>
      <c r="AD842" s="116"/>
      <c r="AE842" s="116"/>
      <c r="AF842" s="116"/>
      <c r="AG842" s="116"/>
      <c r="AH842" s="116"/>
      <c r="AI842" s="116"/>
    </row>
    <row r="843" spans="27:35" ht="18">
      <c r="AA843" s="116"/>
      <c r="AB843" s="87"/>
      <c r="AC843" s="116"/>
      <c r="AD843" s="116"/>
      <c r="AE843" s="116"/>
      <c r="AF843" s="116"/>
      <c r="AG843" s="116"/>
      <c r="AH843" s="116"/>
      <c r="AI843" s="116"/>
    </row>
    <row r="844" spans="27:35" ht="18">
      <c r="AA844" s="116"/>
      <c r="AB844" s="87"/>
      <c r="AC844" s="116"/>
      <c r="AD844" s="116"/>
      <c r="AE844" s="116"/>
      <c r="AF844" s="116"/>
      <c r="AG844" s="116"/>
      <c r="AH844" s="116"/>
      <c r="AI844" s="116"/>
    </row>
    <row r="845" spans="27:35" ht="18">
      <c r="AA845" s="116"/>
      <c r="AB845" s="184"/>
      <c r="AC845" s="116"/>
      <c r="AD845" s="116"/>
      <c r="AE845" s="116"/>
      <c r="AF845" s="116"/>
      <c r="AG845" s="116"/>
      <c r="AH845" s="116"/>
      <c r="AI845" s="116"/>
    </row>
    <row r="846" spans="27:35" ht="18">
      <c r="AA846" s="116"/>
      <c r="AB846" s="184"/>
      <c r="AC846" s="116"/>
      <c r="AD846" s="116"/>
      <c r="AE846" s="116"/>
      <c r="AF846" s="116"/>
      <c r="AG846" s="116"/>
      <c r="AH846" s="116"/>
      <c r="AI846" s="116"/>
    </row>
    <row r="847" spans="27:35" ht="18">
      <c r="AA847" s="116"/>
      <c r="AB847" s="87"/>
      <c r="AC847" s="116"/>
      <c r="AD847" s="116"/>
      <c r="AE847" s="116"/>
      <c r="AF847" s="116"/>
      <c r="AG847" s="116"/>
      <c r="AH847" s="116"/>
      <c r="AI847" s="116"/>
    </row>
    <row r="848" spans="27:35" ht="18">
      <c r="AA848" s="116"/>
      <c r="AB848" s="87"/>
      <c r="AC848" s="116"/>
      <c r="AD848" s="116"/>
      <c r="AE848" s="116"/>
      <c r="AF848" s="116"/>
      <c r="AG848" s="116"/>
      <c r="AH848" s="116"/>
      <c r="AI848" s="116"/>
    </row>
    <row r="849" spans="27:35" ht="18">
      <c r="AA849" s="116"/>
      <c r="AB849" s="87"/>
      <c r="AC849" s="116"/>
      <c r="AD849" s="116"/>
      <c r="AE849" s="116"/>
      <c r="AF849" s="116"/>
      <c r="AG849" s="116"/>
      <c r="AH849" s="116"/>
      <c r="AI849" s="116"/>
    </row>
    <row r="850" spans="27:35" ht="18">
      <c r="AA850" s="116"/>
      <c r="AB850" s="87"/>
      <c r="AC850" s="116"/>
      <c r="AD850" s="116"/>
      <c r="AE850" s="116"/>
      <c r="AF850" s="116"/>
      <c r="AG850" s="116"/>
      <c r="AH850" s="116"/>
      <c r="AI850" s="116"/>
    </row>
    <row r="851" spans="27:35" ht="18">
      <c r="AA851" s="116"/>
      <c r="AB851" s="87"/>
      <c r="AC851" s="116"/>
      <c r="AD851" s="116"/>
      <c r="AE851" s="116"/>
      <c r="AF851" s="116"/>
      <c r="AG851" s="116"/>
      <c r="AH851" s="116"/>
      <c r="AI851" s="116"/>
    </row>
    <row r="852" spans="27:35" ht="18">
      <c r="AA852" s="116"/>
      <c r="AB852" s="87"/>
      <c r="AC852" s="116"/>
      <c r="AD852" s="116"/>
      <c r="AE852" s="116"/>
      <c r="AF852" s="116"/>
      <c r="AG852" s="116"/>
      <c r="AH852" s="116"/>
      <c r="AI852" s="116"/>
    </row>
    <row r="853" spans="27:35" ht="18">
      <c r="AA853" s="116"/>
      <c r="AB853" s="87"/>
      <c r="AC853" s="116"/>
      <c r="AD853" s="116"/>
      <c r="AE853" s="116"/>
      <c r="AF853" s="116"/>
      <c r="AG853" s="116"/>
      <c r="AH853" s="116"/>
      <c r="AI853" s="116"/>
    </row>
    <row r="854" spans="27:35" ht="18">
      <c r="AA854" s="116"/>
      <c r="AB854" s="87"/>
      <c r="AC854" s="116"/>
      <c r="AD854" s="116"/>
      <c r="AE854" s="116"/>
      <c r="AF854" s="116"/>
      <c r="AG854" s="116"/>
      <c r="AH854" s="116"/>
      <c r="AI854" s="116"/>
    </row>
    <row r="855" spans="27:35" ht="18">
      <c r="AA855" s="116"/>
      <c r="AB855" s="87"/>
      <c r="AC855" s="116"/>
      <c r="AD855" s="116"/>
      <c r="AE855" s="116"/>
      <c r="AF855" s="116"/>
      <c r="AG855" s="116"/>
      <c r="AH855" s="116"/>
      <c r="AI855" s="116"/>
    </row>
    <row r="856" spans="27:35" ht="18">
      <c r="AA856" s="116"/>
      <c r="AB856" s="87"/>
      <c r="AC856" s="116"/>
      <c r="AD856" s="116"/>
      <c r="AE856" s="116"/>
      <c r="AF856" s="116"/>
      <c r="AG856" s="116"/>
      <c r="AH856" s="116"/>
      <c r="AI856" s="116"/>
    </row>
    <row r="857" spans="27:35" ht="18">
      <c r="AA857" s="116"/>
      <c r="AB857" s="87"/>
      <c r="AC857" s="116"/>
      <c r="AD857" s="116"/>
      <c r="AE857" s="116"/>
      <c r="AF857" s="116"/>
      <c r="AG857" s="116"/>
      <c r="AH857" s="116"/>
      <c r="AI857" s="116"/>
    </row>
    <row r="858" spans="27:35" ht="18">
      <c r="AA858" s="116"/>
      <c r="AB858" s="87"/>
      <c r="AC858" s="116"/>
      <c r="AD858" s="116"/>
      <c r="AE858" s="116"/>
      <c r="AF858" s="116"/>
      <c r="AG858" s="116"/>
      <c r="AH858" s="116"/>
      <c r="AI858" s="116"/>
    </row>
    <row r="859" spans="27:35" ht="18">
      <c r="AA859" s="116"/>
      <c r="AB859" s="87"/>
      <c r="AC859" s="116"/>
      <c r="AD859" s="116"/>
      <c r="AE859" s="116"/>
      <c r="AF859" s="116"/>
      <c r="AG859" s="116"/>
      <c r="AH859" s="116"/>
      <c r="AI859" s="116"/>
    </row>
    <row r="860" spans="27:35" ht="18">
      <c r="AA860" s="116"/>
      <c r="AB860" s="87"/>
      <c r="AC860" s="116"/>
      <c r="AD860" s="116"/>
      <c r="AE860" s="116"/>
      <c r="AF860" s="116"/>
      <c r="AG860" s="116"/>
      <c r="AH860" s="116"/>
      <c r="AI860" s="116"/>
    </row>
    <row r="861" spans="27:35" ht="18">
      <c r="AA861" s="116"/>
      <c r="AB861" s="87"/>
      <c r="AC861" s="116"/>
      <c r="AD861" s="116"/>
      <c r="AE861" s="116"/>
      <c r="AF861" s="116"/>
      <c r="AG861" s="116"/>
      <c r="AH861" s="116"/>
      <c r="AI861" s="116"/>
    </row>
    <row r="862" spans="27:35" ht="18">
      <c r="AA862" s="116"/>
      <c r="AB862" s="87"/>
      <c r="AC862" s="116"/>
      <c r="AD862" s="116"/>
      <c r="AE862" s="116"/>
      <c r="AF862" s="116"/>
      <c r="AG862" s="116"/>
      <c r="AH862" s="116"/>
      <c r="AI862" s="116"/>
    </row>
    <row r="863" spans="27:35" ht="18">
      <c r="AA863" s="116"/>
      <c r="AB863" s="87"/>
      <c r="AC863" s="116"/>
      <c r="AD863" s="116"/>
      <c r="AE863" s="116"/>
      <c r="AF863" s="116"/>
      <c r="AG863" s="116"/>
      <c r="AH863" s="116"/>
      <c r="AI863" s="116"/>
    </row>
    <row r="864" spans="27:35" ht="18">
      <c r="AA864" s="116"/>
      <c r="AB864" s="87"/>
      <c r="AC864" s="116"/>
      <c r="AD864" s="116"/>
      <c r="AE864" s="116"/>
      <c r="AF864" s="116"/>
      <c r="AG864" s="116"/>
      <c r="AH864" s="116"/>
      <c r="AI864" s="116"/>
    </row>
    <row r="865" spans="27:35" ht="18">
      <c r="AA865" s="116"/>
      <c r="AB865" s="87"/>
      <c r="AC865" s="116"/>
      <c r="AD865" s="116"/>
      <c r="AE865" s="116"/>
      <c r="AF865" s="116"/>
      <c r="AG865" s="116"/>
      <c r="AH865" s="116"/>
      <c r="AI865" s="116"/>
    </row>
    <row r="866" spans="27:35" ht="18">
      <c r="AA866" s="116"/>
      <c r="AB866" s="184"/>
      <c r="AC866" s="116"/>
      <c r="AD866" s="116"/>
      <c r="AE866" s="116"/>
      <c r="AF866" s="116"/>
      <c r="AG866" s="116"/>
      <c r="AH866" s="116"/>
      <c r="AI866" s="116"/>
    </row>
    <row r="867" spans="27:35" ht="18">
      <c r="AA867" s="116"/>
      <c r="AB867" s="184"/>
      <c r="AC867" s="116"/>
      <c r="AD867" s="116"/>
      <c r="AE867" s="116"/>
      <c r="AF867" s="116"/>
      <c r="AG867" s="116"/>
      <c r="AH867" s="116"/>
      <c r="AI867" s="116"/>
    </row>
    <row r="868" spans="27:35" ht="18">
      <c r="AA868" s="116"/>
      <c r="AB868" s="87"/>
      <c r="AC868" s="116"/>
      <c r="AD868" s="116"/>
      <c r="AE868" s="116"/>
      <c r="AF868" s="116"/>
      <c r="AG868" s="116"/>
      <c r="AH868" s="116"/>
      <c r="AI868" s="116"/>
    </row>
    <row r="869" spans="27:35" ht="18">
      <c r="AA869" s="116"/>
      <c r="AB869" s="87"/>
      <c r="AC869" s="116"/>
      <c r="AD869" s="116"/>
      <c r="AE869" s="116"/>
      <c r="AF869" s="116"/>
      <c r="AG869" s="116"/>
      <c r="AH869" s="116"/>
      <c r="AI869" s="116"/>
    </row>
    <row r="870" spans="27:35" ht="18">
      <c r="AA870" s="116"/>
      <c r="AB870" s="87"/>
      <c r="AC870" s="116"/>
      <c r="AD870" s="116"/>
      <c r="AE870" s="116"/>
      <c r="AF870" s="116"/>
      <c r="AG870" s="116"/>
      <c r="AH870" s="116"/>
      <c r="AI870" s="116"/>
    </row>
    <row r="871" spans="27:35" ht="18">
      <c r="AA871" s="116"/>
      <c r="AB871" s="184"/>
      <c r="AC871" s="116"/>
      <c r="AD871" s="116"/>
      <c r="AE871" s="116"/>
      <c r="AF871" s="116"/>
      <c r="AG871" s="116"/>
      <c r="AH871" s="116"/>
      <c r="AI871" s="116"/>
    </row>
    <row r="872" spans="27:35" ht="18">
      <c r="AA872" s="116"/>
      <c r="AB872" s="87"/>
      <c r="AC872" s="116"/>
      <c r="AD872" s="116"/>
      <c r="AE872" s="116"/>
      <c r="AF872" s="116"/>
      <c r="AG872" s="116"/>
      <c r="AH872" s="116"/>
      <c r="AI872" s="116"/>
    </row>
    <row r="873" spans="27:35" ht="18">
      <c r="AA873" s="116"/>
      <c r="AB873" s="87"/>
      <c r="AC873" s="116"/>
      <c r="AD873" s="116"/>
      <c r="AE873" s="116"/>
      <c r="AF873" s="116"/>
      <c r="AG873" s="116"/>
      <c r="AH873" s="116"/>
      <c r="AI873" s="116"/>
    </row>
    <row r="874" spans="27:35" ht="18">
      <c r="AA874" s="116"/>
      <c r="AB874" s="87"/>
      <c r="AC874" s="116"/>
      <c r="AD874" s="116"/>
      <c r="AE874" s="116"/>
      <c r="AF874" s="116"/>
      <c r="AG874" s="116"/>
      <c r="AH874" s="116"/>
      <c r="AI874" s="116"/>
    </row>
    <row r="875" spans="27:35" ht="18">
      <c r="AA875" s="116"/>
      <c r="AB875" s="87"/>
      <c r="AC875" s="116"/>
      <c r="AD875" s="116"/>
      <c r="AE875" s="116"/>
      <c r="AF875" s="116"/>
      <c r="AG875" s="116"/>
      <c r="AH875" s="116"/>
      <c r="AI875" s="116"/>
    </row>
    <row r="876" spans="27:35" ht="18">
      <c r="AA876" s="116"/>
      <c r="AB876" s="87"/>
      <c r="AC876" s="116"/>
      <c r="AD876" s="116"/>
      <c r="AE876" s="116"/>
      <c r="AF876" s="116"/>
      <c r="AG876" s="116"/>
      <c r="AH876" s="116"/>
      <c r="AI876" s="116"/>
    </row>
    <row r="877" spans="27:35" ht="18">
      <c r="AA877" s="116"/>
      <c r="AB877" s="87"/>
      <c r="AC877" s="116"/>
      <c r="AD877" s="116"/>
      <c r="AE877" s="116"/>
      <c r="AF877" s="116"/>
      <c r="AG877" s="116"/>
      <c r="AH877" s="116"/>
      <c r="AI877" s="116"/>
    </row>
    <row r="878" spans="27:35" ht="18">
      <c r="AA878" s="116"/>
      <c r="AB878" s="87"/>
      <c r="AC878" s="116"/>
      <c r="AD878" s="116"/>
      <c r="AE878" s="116"/>
      <c r="AF878" s="116"/>
      <c r="AG878" s="116"/>
      <c r="AH878" s="116"/>
      <c r="AI878" s="116"/>
    </row>
    <row r="879" spans="27:35" ht="18">
      <c r="AA879" s="116"/>
      <c r="AB879" s="87"/>
      <c r="AC879" s="116"/>
      <c r="AD879" s="116"/>
      <c r="AE879" s="116"/>
      <c r="AF879" s="116"/>
      <c r="AG879" s="116"/>
      <c r="AH879" s="116"/>
      <c r="AI879" s="116"/>
    </row>
    <row r="880" spans="27:35" ht="18">
      <c r="AA880" s="116"/>
      <c r="AB880" s="87"/>
      <c r="AC880" s="116"/>
      <c r="AD880" s="116"/>
      <c r="AE880" s="116"/>
      <c r="AF880" s="116"/>
      <c r="AG880" s="116"/>
      <c r="AH880" s="116"/>
      <c r="AI880" s="116"/>
    </row>
    <row r="881" spans="27:35" ht="18">
      <c r="AA881" s="116"/>
      <c r="AB881" s="87"/>
      <c r="AC881" s="116"/>
      <c r="AD881" s="116"/>
      <c r="AE881" s="116"/>
      <c r="AF881" s="116"/>
      <c r="AG881" s="116"/>
      <c r="AH881" s="116"/>
      <c r="AI881" s="116"/>
    </row>
    <row r="882" spans="27:35" ht="18">
      <c r="AA882" s="116"/>
      <c r="AB882" s="87"/>
      <c r="AC882" s="116"/>
      <c r="AD882" s="116"/>
      <c r="AE882" s="116"/>
      <c r="AF882" s="116"/>
      <c r="AG882" s="116"/>
      <c r="AH882" s="116"/>
      <c r="AI882" s="116"/>
    </row>
    <row r="883" spans="27:35" ht="18">
      <c r="AA883" s="116"/>
      <c r="AB883" s="87"/>
      <c r="AC883" s="116"/>
      <c r="AD883" s="116"/>
      <c r="AE883" s="116"/>
      <c r="AF883" s="116"/>
      <c r="AG883" s="116"/>
      <c r="AH883" s="116"/>
      <c r="AI883" s="116"/>
    </row>
    <row r="884" spans="27:35" ht="18">
      <c r="AA884" s="116"/>
      <c r="AB884" s="87"/>
      <c r="AC884" s="116"/>
      <c r="AD884" s="116"/>
      <c r="AE884" s="116"/>
      <c r="AF884" s="116"/>
      <c r="AG884" s="116"/>
      <c r="AH884" s="116"/>
      <c r="AI884" s="116"/>
    </row>
    <row r="885" spans="27:35" ht="18">
      <c r="AA885" s="116"/>
      <c r="AB885" s="87"/>
      <c r="AC885" s="116"/>
      <c r="AD885" s="116"/>
      <c r="AE885" s="116"/>
      <c r="AF885" s="116"/>
      <c r="AG885" s="116"/>
      <c r="AH885" s="116"/>
      <c r="AI885" s="116"/>
    </row>
    <row r="886" spans="27:35" ht="18">
      <c r="AA886" s="116"/>
      <c r="AB886" s="87"/>
      <c r="AC886" s="116"/>
      <c r="AD886" s="116"/>
      <c r="AE886" s="116"/>
      <c r="AF886" s="116"/>
      <c r="AG886" s="116"/>
      <c r="AH886" s="116"/>
      <c r="AI886" s="116"/>
    </row>
    <row r="887" spans="27:35" ht="18">
      <c r="AA887" s="116"/>
      <c r="AB887" s="87"/>
      <c r="AC887" s="116"/>
      <c r="AD887" s="116"/>
      <c r="AE887" s="116"/>
      <c r="AF887" s="116"/>
      <c r="AG887" s="116"/>
      <c r="AH887" s="116"/>
      <c r="AI887" s="116"/>
    </row>
    <row r="888" spans="27:35" ht="18">
      <c r="AA888" s="116"/>
      <c r="AB888" s="87"/>
      <c r="AC888" s="116"/>
      <c r="AD888" s="116"/>
      <c r="AE888" s="116"/>
      <c r="AF888" s="116"/>
      <c r="AG888" s="116"/>
      <c r="AH888" s="116"/>
      <c r="AI888" s="116"/>
    </row>
    <row r="889" spans="27:35" ht="18">
      <c r="AA889" s="116"/>
      <c r="AB889" s="87"/>
      <c r="AC889" s="116"/>
      <c r="AD889" s="116"/>
      <c r="AE889" s="116"/>
      <c r="AF889" s="116"/>
      <c r="AG889" s="116"/>
      <c r="AH889" s="116"/>
      <c r="AI889" s="116"/>
    </row>
    <row r="890" spans="27:35" ht="18">
      <c r="AA890" s="116"/>
      <c r="AB890" s="87"/>
      <c r="AC890" s="116"/>
      <c r="AD890" s="116"/>
      <c r="AE890" s="116"/>
      <c r="AF890" s="116"/>
      <c r="AG890" s="116"/>
      <c r="AH890" s="116"/>
      <c r="AI890" s="116"/>
    </row>
    <row r="891" spans="27:35" ht="18">
      <c r="AA891" s="116"/>
      <c r="AB891" s="87"/>
      <c r="AC891" s="116"/>
      <c r="AD891" s="116"/>
      <c r="AE891" s="116"/>
      <c r="AF891" s="116"/>
      <c r="AG891" s="116"/>
      <c r="AH891" s="116"/>
      <c r="AI891" s="116"/>
    </row>
    <row r="892" spans="27:35" ht="18">
      <c r="AA892" s="116"/>
      <c r="AB892" s="87"/>
      <c r="AC892" s="116"/>
      <c r="AD892" s="116"/>
      <c r="AE892" s="116"/>
      <c r="AF892" s="116"/>
      <c r="AG892" s="116"/>
      <c r="AH892" s="116"/>
      <c r="AI892" s="116"/>
    </row>
    <row r="893" spans="27:35" ht="18">
      <c r="AA893" s="116"/>
      <c r="AB893" s="87"/>
      <c r="AC893" s="116"/>
      <c r="AD893" s="116"/>
      <c r="AE893" s="116"/>
      <c r="AF893" s="116"/>
      <c r="AG893" s="116"/>
      <c r="AH893" s="116"/>
      <c r="AI893" s="116"/>
    </row>
    <row r="894" spans="27:35" ht="18">
      <c r="AA894" s="116"/>
      <c r="AB894" s="87"/>
      <c r="AC894" s="116"/>
      <c r="AD894" s="116"/>
      <c r="AE894" s="116"/>
      <c r="AF894" s="116"/>
      <c r="AG894" s="116"/>
      <c r="AH894" s="116"/>
      <c r="AI894" s="116"/>
    </row>
    <row r="895" spans="27:35" ht="18">
      <c r="AA895" s="116"/>
      <c r="AB895" s="184"/>
      <c r="AC895" s="116"/>
      <c r="AD895" s="116"/>
      <c r="AE895" s="116"/>
      <c r="AF895" s="116"/>
      <c r="AG895" s="116"/>
      <c r="AH895" s="116"/>
      <c r="AI895" s="116"/>
    </row>
    <row r="896" spans="27:35" ht="18">
      <c r="AA896" s="116"/>
      <c r="AB896" s="184"/>
      <c r="AC896" s="116"/>
      <c r="AD896" s="116"/>
      <c r="AE896" s="116"/>
      <c r="AF896" s="116"/>
      <c r="AG896" s="116"/>
      <c r="AH896" s="116"/>
      <c r="AI896" s="116"/>
    </row>
    <row r="897" spans="27:35" ht="18">
      <c r="AA897" s="116"/>
      <c r="AB897" s="87"/>
      <c r="AC897" s="116"/>
      <c r="AD897" s="116"/>
      <c r="AE897" s="116"/>
      <c r="AF897" s="116"/>
      <c r="AG897" s="116"/>
      <c r="AH897" s="116"/>
      <c r="AI897" s="116"/>
    </row>
    <row r="898" spans="27:35" ht="18">
      <c r="AA898" s="116"/>
      <c r="AB898" s="87"/>
      <c r="AC898" s="116"/>
      <c r="AD898" s="116"/>
      <c r="AE898" s="116"/>
      <c r="AF898" s="116"/>
      <c r="AG898" s="116"/>
      <c r="AH898" s="116"/>
      <c r="AI898" s="116"/>
    </row>
    <row r="899" spans="27:35" ht="18">
      <c r="AA899" s="116"/>
      <c r="AB899" s="87"/>
      <c r="AC899" s="116"/>
      <c r="AD899" s="116"/>
      <c r="AE899" s="116"/>
      <c r="AF899" s="116"/>
      <c r="AG899" s="116"/>
      <c r="AH899" s="116"/>
      <c r="AI899" s="116"/>
    </row>
    <row r="900" spans="27:35" ht="18">
      <c r="AA900" s="116"/>
      <c r="AB900" s="87"/>
      <c r="AC900" s="116"/>
      <c r="AD900" s="116"/>
      <c r="AE900" s="116"/>
      <c r="AF900" s="116"/>
      <c r="AG900" s="116"/>
      <c r="AH900" s="116"/>
      <c r="AI900" s="116"/>
    </row>
    <row r="901" spans="27:35" ht="18">
      <c r="AA901" s="116"/>
      <c r="AB901" s="184"/>
      <c r="AC901" s="116"/>
      <c r="AD901" s="116"/>
      <c r="AE901" s="116"/>
      <c r="AF901" s="116"/>
      <c r="AG901" s="116"/>
      <c r="AH901" s="116"/>
      <c r="AI901" s="116"/>
    </row>
    <row r="902" spans="27:35" ht="18">
      <c r="AA902" s="116"/>
      <c r="AB902" s="184"/>
      <c r="AC902" s="116"/>
      <c r="AD902" s="116"/>
      <c r="AE902" s="116"/>
      <c r="AF902" s="116"/>
      <c r="AG902" s="116"/>
      <c r="AH902" s="116"/>
      <c r="AI902" s="116"/>
    </row>
    <row r="903" spans="27:35" ht="18">
      <c r="AA903" s="116"/>
      <c r="AB903" s="87"/>
      <c r="AC903" s="116"/>
      <c r="AD903" s="116"/>
      <c r="AE903" s="116"/>
      <c r="AF903" s="116"/>
      <c r="AG903" s="116"/>
      <c r="AH903" s="116"/>
      <c r="AI903" s="116"/>
    </row>
    <row r="904" spans="27:35" ht="18">
      <c r="AA904" s="116"/>
      <c r="AB904" s="87"/>
      <c r="AC904" s="116"/>
      <c r="AD904" s="116"/>
      <c r="AE904" s="116"/>
      <c r="AF904" s="116"/>
      <c r="AG904" s="116"/>
      <c r="AH904" s="116"/>
      <c r="AI904" s="116"/>
    </row>
    <row r="905" spans="27:35" ht="18">
      <c r="AA905" s="116"/>
      <c r="AB905" s="87"/>
      <c r="AC905" s="116"/>
      <c r="AD905" s="116"/>
      <c r="AE905" s="116"/>
      <c r="AF905" s="116"/>
      <c r="AG905" s="116"/>
      <c r="AH905" s="116"/>
      <c r="AI905" s="116"/>
    </row>
    <row r="906" spans="27:35" ht="18">
      <c r="AA906" s="116"/>
      <c r="AB906" s="87"/>
      <c r="AC906" s="116"/>
      <c r="AD906" s="116"/>
      <c r="AE906" s="116"/>
      <c r="AF906" s="116"/>
      <c r="AG906" s="116"/>
      <c r="AH906" s="116"/>
      <c r="AI906" s="116"/>
    </row>
    <row r="907" spans="27:35" ht="18">
      <c r="AA907" s="116"/>
      <c r="AB907" s="87"/>
      <c r="AC907" s="116"/>
      <c r="AD907" s="116"/>
      <c r="AE907" s="116"/>
      <c r="AF907" s="116"/>
      <c r="AG907" s="116"/>
      <c r="AH907" s="116"/>
      <c r="AI907" s="116"/>
    </row>
    <row r="908" spans="27:35" ht="18">
      <c r="AA908" s="116"/>
      <c r="AB908" s="87"/>
      <c r="AC908" s="116"/>
      <c r="AD908" s="116"/>
      <c r="AE908" s="116"/>
      <c r="AF908" s="116"/>
      <c r="AG908" s="116"/>
      <c r="AH908" s="116"/>
      <c r="AI908" s="116"/>
    </row>
    <row r="909" spans="27:35" ht="18">
      <c r="AA909" s="116"/>
      <c r="AB909" s="87"/>
      <c r="AC909" s="116"/>
      <c r="AD909" s="116"/>
      <c r="AE909" s="116"/>
      <c r="AF909" s="116"/>
      <c r="AG909" s="116"/>
      <c r="AH909" s="116"/>
      <c r="AI909" s="116"/>
    </row>
    <row r="910" spans="27:35" ht="18">
      <c r="AA910" s="116"/>
      <c r="AB910" s="87"/>
      <c r="AC910" s="116"/>
      <c r="AD910" s="116"/>
      <c r="AE910" s="116"/>
      <c r="AF910" s="116"/>
      <c r="AG910" s="116"/>
      <c r="AH910" s="116"/>
      <c r="AI910" s="116"/>
    </row>
    <row r="911" spans="27:35" ht="18">
      <c r="AA911" s="116"/>
      <c r="AB911" s="87"/>
      <c r="AC911" s="116"/>
      <c r="AD911" s="116"/>
      <c r="AE911" s="116"/>
      <c r="AF911" s="116"/>
      <c r="AG911" s="116"/>
      <c r="AH911" s="116"/>
      <c r="AI911" s="116"/>
    </row>
    <row r="912" spans="27:35" ht="18">
      <c r="AA912" s="116"/>
      <c r="AB912" s="87"/>
      <c r="AC912" s="116"/>
      <c r="AD912" s="116"/>
      <c r="AE912" s="116"/>
      <c r="AF912" s="116"/>
      <c r="AG912" s="116"/>
      <c r="AH912" s="116"/>
      <c r="AI912" s="116"/>
    </row>
    <row r="913" spans="27:35" ht="18">
      <c r="AA913" s="116"/>
      <c r="AB913" s="87"/>
      <c r="AC913" s="116"/>
      <c r="AD913" s="116"/>
      <c r="AE913" s="116"/>
      <c r="AF913" s="116"/>
      <c r="AG913" s="116"/>
      <c r="AH913" s="116"/>
      <c r="AI913" s="116"/>
    </row>
    <row r="914" spans="27:35" ht="18">
      <c r="AA914" s="116"/>
      <c r="AB914" s="87"/>
      <c r="AC914" s="116"/>
      <c r="AD914" s="116"/>
      <c r="AE914" s="116"/>
      <c r="AF914" s="116"/>
      <c r="AG914" s="116"/>
      <c r="AH914" s="116"/>
      <c r="AI914" s="116"/>
    </row>
    <row r="915" spans="27:35" ht="18">
      <c r="AA915" s="116"/>
      <c r="AB915" s="87"/>
      <c r="AC915" s="116"/>
      <c r="AD915" s="116"/>
      <c r="AE915" s="116"/>
      <c r="AF915" s="116"/>
      <c r="AG915" s="116"/>
      <c r="AH915" s="116"/>
      <c r="AI915" s="116"/>
    </row>
    <row r="916" spans="27:35" ht="18">
      <c r="AA916" s="116"/>
      <c r="AB916" s="87"/>
      <c r="AC916" s="116"/>
      <c r="AD916" s="116"/>
      <c r="AE916" s="116"/>
      <c r="AF916" s="116"/>
      <c r="AG916" s="116"/>
      <c r="AH916" s="116"/>
      <c r="AI916" s="116"/>
    </row>
    <row r="917" spans="27:35" ht="18">
      <c r="AA917" s="116"/>
      <c r="AB917" s="87"/>
      <c r="AC917" s="116"/>
      <c r="AD917" s="116"/>
      <c r="AE917" s="116"/>
      <c r="AF917" s="116"/>
      <c r="AG917" s="116"/>
      <c r="AH917" s="116"/>
      <c r="AI917" s="116"/>
    </row>
    <row r="918" spans="27:35" ht="18">
      <c r="AA918" s="116"/>
      <c r="AB918" s="87"/>
      <c r="AC918" s="116"/>
      <c r="AD918" s="116"/>
      <c r="AE918" s="116"/>
      <c r="AF918" s="116"/>
      <c r="AG918" s="116"/>
      <c r="AH918" s="116"/>
      <c r="AI918" s="116"/>
    </row>
    <row r="919" spans="27:35" ht="18">
      <c r="AA919" s="116"/>
      <c r="AB919" s="87"/>
      <c r="AC919" s="116"/>
      <c r="AD919" s="116"/>
      <c r="AE919" s="116"/>
      <c r="AF919" s="116"/>
      <c r="AG919" s="116"/>
      <c r="AH919" s="116"/>
      <c r="AI919" s="116"/>
    </row>
    <row r="920" spans="27:35" ht="18">
      <c r="AA920" s="116"/>
      <c r="AB920" s="87"/>
      <c r="AC920" s="116"/>
      <c r="AD920" s="116"/>
      <c r="AE920" s="116"/>
      <c r="AF920" s="116"/>
      <c r="AG920" s="116"/>
      <c r="AH920" s="116"/>
      <c r="AI920" s="116"/>
    </row>
    <row r="921" spans="27:35" ht="18">
      <c r="AA921" s="116"/>
      <c r="AB921" s="87"/>
      <c r="AC921" s="116"/>
      <c r="AD921" s="116"/>
      <c r="AE921" s="116"/>
      <c r="AF921" s="116"/>
      <c r="AG921" s="116"/>
      <c r="AH921" s="116"/>
      <c r="AI921" s="116"/>
    </row>
    <row r="922" spans="27:35" ht="18">
      <c r="AA922" s="116"/>
      <c r="AB922" s="87"/>
      <c r="AC922" s="116"/>
      <c r="AD922" s="116"/>
      <c r="AE922" s="116"/>
      <c r="AF922" s="116"/>
      <c r="AG922" s="116"/>
      <c r="AH922" s="116"/>
      <c r="AI922" s="116"/>
    </row>
    <row r="923" spans="27:35" ht="18">
      <c r="AA923" s="116"/>
      <c r="AB923" s="87"/>
      <c r="AC923" s="116"/>
      <c r="AD923" s="116"/>
      <c r="AE923" s="116"/>
      <c r="AF923" s="116"/>
      <c r="AG923" s="116"/>
      <c r="AH923" s="116"/>
      <c r="AI923" s="116"/>
    </row>
    <row r="924" spans="27:35" ht="18">
      <c r="AA924" s="116"/>
      <c r="AB924" s="87"/>
      <c r="AC924" s="116"/>
      <c r="AD924" s="116"/>
      <c r="AE924" s="116"/>
      <c r="AF924" s="116"/>
      <c r="AG924" s="116"/>
      <c r="AH924" s="116"/>
      <c r="AI924" s="116"/>
    </row>
    <row r="925" spans="27:35" ht="18">
      <c r="AA925" s="116"/>
      <c r="AB925" s="87"/>
      <c r="AC925" s="116"/>
      <c r="AD925" s="116"/>
      <c r="AE925" s="116"/>
      <c r="AF925" s="116"/>
      <c r="AG925" s="116"/>
      <c r="AH925" s="116"/>
      <c r="AI925" s="116"/>
    </row>
    <row r="926" spans="27:35" ht="18">
      <c r="AA926" s="116"/>
      <c r="AB926" s="87"/>
      <c r="AC926" s="116"/>
      <c r="AD926" s="116"/>
      <c r="AE926" s="116"/>
      <c r="AF926" s="116"/>
      <c r="AG926" s="116"/>
      <c r="AH926" s="116"/>
      <c r="AI926" s="116"/>
    </row>
    <row r="927" spans="27:35" ht="18">
      <c r="AA927" s="116"/>
      <c r="AB927" s="87"/>
      <c r="AC927" s="116"/>
      <c r="AD927" s="116"/>
      <c r="AE927" s="116"/>
      <c r="AF927" s="116"/>
      <c r="AG927" s="116"/>
      <c r="AH927" s="116"/>
      <c r="AI927" s="116"/>
    </row>
    <row r="928" spans="27:35" ht="18">
      <c r="AA928" s="116"/>
      <c r="AB928" s="87"/>
      <c r="AC928" s="116"/>
      <c r="AD928" s="116"/>
      <c r="AE928" s="116"/>
      <c r="AF928" s="116"/>
      <c r="AG928" s="116"/>
      <c r="AH928" s="116"/>
      <c r="AI928" s="116"/>
    </row>
    <row r="929" spans="27:35" ht="18">
      <c r="AA929" s="116"/>
      <c r="AB929" s="87"/>
      <c r="AC929" s="116"/>
      <c r="AD929" s="116"/>
      <c r="AE929" s="116"/>
      <c r="AF929" s="116"/>
      <c r="AG929" s="116"/>
      <c r="AH929" s="116"/>
      <c r="AI929" s="116"/>
    </row>
    <row r="930" spans="27:35" ht="18">
      <c r="AA930" s="116"/>
      <c r="AB930" s="87"/>
      <c r="AC930" s="116"/>
      <c r="AD930" s="116"/>
      <c r="AE930" s="116"/>
      <c r="AF930" s="116"/>
      <c r="AG930" s="116"/>
      <c r="AH930" s="116"/>
      <c r="AI930" s="116"/>
    </row>
    <row r="931" spans="27:35" ht="18">
      <c r="AA931" s="116"/>
      <c r="AB931" s="87"/>
      <c r="AC931" s="116"/>
      <c r="AD931" s="116"/>
      <c r="AE931" s="116"/>
      <c r="AF931" s="116"/>
      <c r="AG931" s="116"/>
      <c r="AH931" s="116"/>
      <c r="AI931" s="116"/>
    </row>
    <row r="932" spans="27:35" ht="18">
      <c r="AA932" s="116"/>
      <c r="AB932" s="87"/>
      <c r="AC932" s="116"/>
      <c r="AD932" s="116"/>
      <c r="AE932" s="116"/>
      <c r="AF932" s="116"/>
      <c r="AG932" s="116"/>
      <c r="AH932" s="116"/>
      <c r="AI932" s="116"/>
    </row>
    <row r="933" spans="27:35" ht="18">
      <c r="AA933" s="116"/>
      <c r="AB933" s="87"/>
      <c r="AC933" s="116"/>
      <c r="AD933" s="116"/>
      <c r="AE933" s="116"/>
      <c r="AF933" s="116"/>
      <c r="AG933" s="116"/>
      <c r="AH933" s="116"/>
      <c r="AI933" s="116"/>
    </row>
    <row r="934" spans="27:35" ht="18">
      <c r="AA934" s="116"/>
      <c r="AB934" s="87"/>
      <c r="AC934" s="116"/>
      <c r="AD934" s="116"/>
      <c r="AE934" s="116"/>
      <c r="AF934" s="116"/>
      <c r="AG934" s="116"/>
      <c r="AH934" s="116"/>
      <c r="AI934" s="116"/>
    </row>
    <row r="935" spans="27:35" ht="18">
      <c r="AA935" s="116"/>
      <c r="AB935" s="87"/>
      <c r="AC935" s="116"/>
      <c r="AD935" s="116"/>
      <c r="AE935" s="116"/>
      <c r="AF935" s="116"/>
      <c r="AG935" s="116"/>
      <c r="AH935" s="116"/>
      <c r="AI935" s="116"/>
    </row>
    <row r="936" spans="27:35" ht="18">
      <c r="AA936" s="116"/>
      <c r="AB936" s="87"/>
      <c r="AC936" s="116"/>
      <c r="AD936" s="116"/>
      <c r="AE936" s="116"/>
      <c r="AF936" s="116"/>
      <c r="AG936" s="116"/>
      <c r="AH936" s="116"/>
      <c r="AI936" s="116"/>
    </row>
    <row r="937" spans="27:35" ht="18">
      <c r="AA937" s="116"/>
      <c r="AB937" s="87"/>
      <c r="AC937" s="116"/>
      <c r="AD937" s="116"/>
      <c r="AE937" s="116"/>
      <c r="AF937" s="116"/>
      <c r="AG937" s="116"/>
      <c r="AH937" s="116"/>
      <c r="AI937" s="116"/>
    </row>
    <row r="938" spans="27:35" ht="18">
      <c r="AA938" s="116"/>
      <c r="AB938" s="87"/>
      <c r="AC938" s="116"/>
      <c r="AD938" s="116"/>
      <c r="AE938" s="116"/>
      <c r="AF938" s="116"/>
      <c r="AG938" s="116"/>
      <c r="AH938" s="116"/>
      <c r="AI938" s="116"/>
    </row>
    <row r="939" spans="27:35" ht="18">
      <c r="AA939" s="116"/>
      <c r="AB939" s="87"/>
      <c r="AC939" s="116"/>
      <c r="AD939" s="116"/>
      <c r="AE939" s="116"/>
      <c r="AF939" s="116"/>
      <c r="AG939" s="116"/>
      <c r="AH939" s="116"/>
      <c r="AI939" s="116"/>
    </row>
    <row r="940" spans="27:35" ht="18">
      <c r="AA940" s="116"/>
      <c r="AB940" s="87"/>
      <c r="AC940" s="116"/>
      <c r="AD940" s="116"/>
      <c r="AE940" s="116"/>
      <c r="AF940" s="116"/>
      <c r="AG940" s="116"/>
      <c r="AH940" s="116"/>
      <c r="AI940" s="116"/>
    </row>
    <row r="941" spans="27:35" ht="18">
      <c r="AA941" s="116"/>
      <c r="AB941" s="87"/>
      <c r="AC941" s="116"/>
      <c r="AD941" s="116"/>
      <c r="AE941" s="116"/>
      <c r="AF941" s="116"/>
      <c r="AG941" s="116"/>
      <c r="AH941" s="116"/>
      <c r="AI941" s="116"/>
    </row>
    <row r="942" spans="27:35" ht="18">
      <c r="AA942" s="116"/>
      <c r="AB942" s="87"/>
      <c r="AC942" s="116"/>
      <c r="AD942" s="116"/>
      <c r="AE942" s="116"/>
      <c r="AF942" s="116"/>
      <c r="AG942" s="116"/>
      <c r="AH942" s="116"/>
      <c r="AI942" s="116"/>
    </row>
    <row r="943" spans="27:35" ht="18">
      <c r="AA943" s="116"/>
      <c r="AB943" s="87"/>
      <c r="AC943" s="116"/>
      <c r="AD943" s="116"/>
      <c r="AE943" s="116"/>
      <c r="AF943" s="116"/>
      <c r="AG943" s="116"/>
      <c r="AH943" s="116"/>
      <c r="AI943" s="116"/>
    </row>
    <row r="944" spans="27:35" ht="18">
      <c r="AA944" s="116"/>
      <c r="AB944" s="87"/>
      <c r="AC944" s="116"/>
      <c r="AD944" s="116"/>
      <c r="AE944" s="116"/>
      <c r="AF944" s="116"/>
      <c r="AG944" s="116"/>
      <c r="AH944" s="116"/>
      <c r="AI944" s="116"/>
    </row>
    <row r="945" spans="27:35" ht="18">
      <c r="AA945" s="116"/>
      <c r="AB945" s="87"/>
      <c r="AC945" s="116"/>
      <c r="AD945" s="116"/>
      <c r="AE945" s="116"/>
      <c r="AF945" s="116"/>
      <c r="AG945" s="116"/>
      <c r="AH945" s="116"/>
      <c r="AI945" s="116"/>
    </row>
    <row r="946" spans="27:35" ht="18">
      <c r="AA946" s="116"/>
      <c r="AB946" s="87"/>
      <c r="AC946" s="116"/>
      <c r="AD946" s="116"/>
      <c r="AE946" s="116"/>
      <c r="AF946" s="116"/>
      <c r="AG946" s="116"/>
      <c r="AH946" s="116"/>
      <c r="AI946" s="116"/>
    </row>
    <row r="947" spans="27:35" ht="18">
      <c r="AA947" s="116"/>
      <c r="AB947" s="87"/>
      <c r="AC947" s="116"/>
      <c r="AD947" s="116"/>
      <c r="AE947" s="116"/>
      <c r="AF947" s="116"/>
      <c r="AG947" s="116"/>
      <c r="AH947" s="116"/>
      <c r="AI947" s="116"/>
    </row>
    <row r="948" spans="27:35" ht="18">
      <c r="AA948" s="116"/>
      <c r="AB948" s="87"/>
      <c r="AC948" s="116"/>
      <c r="AD948" s="116"/>
      <c r="AE948" s="116"/>
      <c r="AF948" s="116"/>
      <c r="AG948" s="116"/>
      <c r="AH948" s="116"/>
      <c r="AI948" s="116"/>
    </row>
    <row r="949" spans="27:35" ht="18">
      <c r="AA949" s="116"/>
      <c r="AB949" s="87"/>
      <c r="AC949" s="116"/>
      <c r="AD949" s="116"/>
      <c r="AE949" s="116"/>
      <c r="AF949" s="116"/>
      <c r="AG949" s="116"/>
      <c r="AH949" s="116"/>
      <c r="AI949" s="116"/>
    </row>
    <row r="950" spans="27:35" ht="18">
      <c r="AA950" s="116"/>
      <c r="AB950" s="87"/>
      <c r="AC950" s="116"/>
      <c r="AD950" s="116"/>
      <c r="AE950" s="116"/>
      <c r="AF950" s="116"/>
      <c r="AG950" s="116"/>
      <c r="AH950" s="116"/>
      <c r="AI950" s="116"/>
    </row>
    <row r="951" spans="27:35" ht="18">
      <c r="AA951" s="116"/>
      <c r="AB951" s="87"/>
      <c r="AC951" s="116"/>
      <c r="AD951" s="116"/>
      <c r="AE951" s="116"/>
      <c r="AF951" s="116"/>
      <c r="AG951" s="116"/>
      <c r="AH951" s="116"/>
      <c r="AI951" s="116"/>
    </row>
    <row r="952" spans="27:35" ht="18">
      <c r="AA952" s="116"/>
      <c r="AB952" s="87"/>
      <c r="AC952" s="116"/>
      <c r="AD952" s="116"/>
      <c r="AE952" s="116"/>
      <c r="AF952" s="116"/>
      <c r="AG952" s="116"/>
      <c r="AH952" s="116"/>
      <c r="AI952" s="116"/>
    </row>
    <row r="953" spans="27:35" ht="18">
      <c r="AA953" s="116"/>
      <c r="AB953" s="87"/>
      <c r="AC953" s="116"/>
      <c r="AD953" s="116"/>
      <c r="AE953" s="116"/>
      <c r="AF953" s="116"/>
      <c r="AG953" s="116"/>
      <c r="AH953" s="116"/>
      <c r="AI953" s="116"/>
    </row>
    <row r="954" spans="27:35" ht="18">
      <c r="AA954" s="116"/>
      <c r="AB954" s="87"/>
      <c r="AC954" s="116"/>
      <c r="AD954" s="116"/>
      <c r="AE954" s="116"/>
      <c r="AF954" s="116"/>
      <c r="AG954" s="116"/>
      <c r="AH954" s="116"/>
      <c r="AI954" s="116"/>
    </row>
    <row r="955" spans="27:35" ht="18">
      <c r="AA955" s="116"/>
      <c r="AB955" s="87"/>
      <c r="AC955" s="116"/>
      <c r="AD955" s="116"/>
      <c r="AE955" s="116"/>
      <c r="AF955" s="116"/>
      <c r="AG955" s="116"/>
      <c r="AH955" s="116"/>
      <c r="AI955" s="116"/>
    </row>
    <row r="956" spans="27:35" ht="18">
      <c r="AA956" s="116"/>
      <c r="AB956" s="87"/>
      <c r="AC956" s="116"/>
      <c r="AD956" s="116"/>
      <c r="AE956" s="116"/>
      <c r="AF956" s="116"/>
      <c r="AG956" s="116"/>
      <c r="AH956" s="116"/>
      <c r="AI956" s="116"/>
    </row>
    <row r="957" spans="27:35" ht="18">
      <c r="AA957" s="116"/>
      <c r="AB957" s="87"/>
      <c r="AC957" s="116"/>
      <c r="AD957" s="116"/>
      <c r="AE957" s="116"/>
      <c r="AF957" s="116"/>
      <c r="AG957" s="116"/>
      <c r="AH957" s="116"/>
      <c r="AI957" s="116"/>
    </row>
    <row r="958" spans="27:35" ht="18">
      <c r="AA958" s="116"/>
      <c r="AB958" s="87"/>
      <c r="AC958" s="116"/>
      <c r="AD958" s="116"/>
      <c r="AE958" s="116"/>
      <c r="AF958" s="116"/>
      <c r="AG958" s="116"/>
      <c r="AH958" s="116"/>
      <c r="AI958" s="116"/>
    </row>
    <row r="959" spans="27:35" ht="18">
      <c r="AA959" s="116"/>
      <c r="AB959" s="87"/>
      <c r="AC959" s="116"/>
      <c r="AD959" s="116"/>
      <c r="AE959" s="116"/>
      <c r="AF959" s="116"/>
      <c r="AG959" s="116"/>
      <c r="AH959" s="116"/>
      <c r="AI959" s="116"/>
    </row>
    <row r="960" spans="27:35" ht="18">
      <c r="AA960" s="116"/>
      <c r="AB960" s="87"/>
      <c r="AC960" s="116"/>
      <c r="AD960" s="116"/>
      <c r="AE960" s="116"/>
      <c r="AF960" s="116"/>
      <c r="AG960" s="116"/>
      <c r="AH960" s="116"/>
      <c r="AI960" s="116"/>
    </row>
    <row r="961" spans="27:35" ht="18">
      <c r="AA961" s="116"/>
      <c r="AB961" s="87"/>
      <c r="AC961" s="116"/>
      <c r="AD961" s="116"/>
      <c r="AE961" s="116"/>
      <c r="AF961" s="116"/>
      <c r="AG961" s="116"/>
      <c r="AH961" s="116"/>
      <c r="AI961" s="116"/>
    </row>
    <row r="962" spans="27:35" ht="18">
      <c r="AA962" s="116"/>
      <c r="AB962" s="87"/>
      <c r="AC962" s="116"/>
      <c r="AD962" s="116"/>
      <c r="AE962" s="116"/>
      <c r="AF962" s="116"/>
      <c r="AG962" s="116"/>
      <c r="AH962" s="116"/>
      <c r="AI962" s="116"/>
    </row>
    <row r="963" spans="27:35" ht="18">
      <c r="AA963" s="116"/>
      <c r="AB963" s="87"/>
      <c r="AC963" s="116"/>
      <c r="AD963" s="116"/>
      <c r="AE963" s="116"/>
      <c r="AF963" s="116"/>
      <c r="AG963" s="116"/>
      <c r="AH963" s="116"/>
      <c r="AI963" s="116"/>
    </row>
    <row r="964" spans="27:35" ht="18">
      <c r="AA964" s="116"/>
      <c r="AB964" s="87"/>
      <c r="AC964" s="116"/>
      <c r="AD964" s="116"/>
      <c r="AE964" s="116"/>
      <c r="AF964" s="116"/>
      <c r="AG964" s="116"/>
      <c r="AH964" s="116"/>
      <c r="AI964" s="116"/>
    </row>
    <row r="965" spans="27:35" ht="18">
      <c r="AA965" s="116"/>
      <c r="AB965" s="87"/>
      <c r="AC965" s="116"/>
      <c r="AD965" s="116"/>
      <c r="AE965" s="116"/>
      <c r="AF965" s="116"/>
      <c r="AG965" s="116"/>
      <c r="AH965" s="116"/>
      <c r="AI965" s="116"/>
    </row>
    <row r="966" spans="27:35" ht="18">
      <c r="AA966" s="116"/>
      <c r="AB966" s="87"/>
      <c r="AC966" s="116"/>
      <c r="AD966" s="116"/>
      <c r="AE966" s="116"/>
      <c r="AF966" s="116"/>
      <c r="AG966" s="116"/>
      <c r="AH966" s="116"/>
      <c r="AI966" s="116"/>
    </row>
    <row r="967" spans="27:35" ht="18">
      <c r="AA967" s="116"/>
      <c r="AB967" s="87"/>
      <c r="AC967" s="116"/>
      <c r="AD967" s="116"/>
      <c r="AE967" s="116"/>
      <c r="AF967" s="116"/>
      <c r="AG967" s="116"/>
      <c r="AH967" s="116"/>
      <c r="AI967" s="116"/>
    </row>
    <row r="968" spans="27:35" ht="18">
      <c r="AA968" s="116"/>
      <c r="AB968" s="87"/>
      <c r="AC968" s="116"/>
      <c r="AD968" s="116"/>
      <c r="AE968" s="116"/>
      <c r="AF968" s="116"/>
      <c r="AG968" s="116"/>
      <c r="AH968" s="116"/>
      <c r="AI968" s="116"/>
    </row>
    <row r="969" spans="27:35" ht="18">
      <c r="AA969" s="116"/>
      <c r="AB969" s="87"/>
      <c r="AC969" s="116"/>
      <c r="AD969" s="116"/>
      <c r="AE969" s="116"/>
      <c r="AF969" s="116"/>
      <c r="AG969" s="116"/>
      <c r="AH969" s="116"/>
      <c r="AI969" s="116"/>
    </row>
    <row r="970" spans="27:35" ht="18">
      <c r="AA970" s="116"/>
      <c r="AB970" s="87"/>
      <c r="AC970" s="116"/>
      <c r="AD970" s="116"/>
      <c r="AE970" s="116"/>
      <c r="AF970" s="116"/>
      <c r="AG970" s="116"/>
      <c r="AH970" s="116"/>
      <c r="AI970" s="116"/>
    </row>
    <row r="971" spans="27:35" ht="18">
      <c r="AA971" s="116"/>
      <c r="AB971" s="87"/>
      <c r="AC971" s="116"/>
      <c r="AD971" s="116"/>
      <c r="AE971" s="116"/>
      <c r="AF971" s="116"/>
      <c r="AG971" s="116"/>
      <c r="AH971" s="116"/>
      <c r="AI971" s="116"/>
    </row>
    <row r="972" spans="27:35" ht="18">
      <c r="AA972" s="116"/>
      <c r="AB972" s="87"/>
      <c r="AC972" s="116"/>
      <c r="AD972" s="116"/>
      <c r="AE972" s="116"/>
      <c r="AF972" s="116"/>
      <c r="AG972" s="116"/>
      <c r="AH972" s="116"/>
      <c r="AI972" s="116"/>
    </row>
    <row r="973" spans="27:35" ht="18">
      <c r="AA973" s="116"/>
      <c r="AB973" s="87"/>
      <c r="AC973" s="116"/>
      <c r="AD973" s="116"/>
      <c r="AE973" s="116"/>
      <c r="AF973" s="116"/>
      <c r="AG973" s="116"/>
      <c r="AH973" s="116"/>
      <c r="AI973" s="116"/>
    </row>
    <row r="974" spans="27:35" ht="18">
      <c r="AA974" s="116"/>
      <c r="AB974" s="87"/>
      <c r="AC974" s="116"/>
      <c r="AD974" s="116"/>
      <c r="AE974" s="116"/>
      <c r="AF974" s="116"/>
      <c r="AG974" s="116"/>
      <c r="AH974" s="116"/>
      <c r="AI974" s="116"/>
    </row>
    <row r="975" spans="27:35" ht="18">
      <c r="AA975" s="116"/>
      <c r="AB975" s="87"/>
      <c r="AC975" s="116"/>
      <c r="AD975" s="116"/>
      <c r="AE975" s="116"/>
      <c r="AF975" s="116"/>
      <c r="AG975" s="116"/>
      <c r="AH975" s="116"/>
      <c r="AI975" s="116"/>
    </row>
    <row r="976" spans="27:35" ht="18">
      <c r="AA976" s="116"/>
      <c r="AB976" s="87"/>
      <c r="AC976" s="116"/>
      <c r="AD976" s="116"/>
      <c r="AE976" s="116"/>
      <c r="AF976" s="116"/>
      <c r="AG976" s="116"/>
      <c r="AH976" s="116"/>
      <c r="AI976" s="116"/>
    </row>
    <row r="977" spans="27:35" ht="18">
      <c r="AA977" s="116"/>
      <c r="AB977" s="87"/>
      <c r="AC977" s="116"/>
      <c r="AD977" s="116"/>
      <c r="AE977" s="116"/>
      <c r="AF977" s="116"/>
      <c r="AG977" s="116"/>
      <c r="AH977" s="116"/>
      <c r="AI977" s="116"/>
    </row>
    <row r="978" spans="27:35" ht="18">
      <c r="AA978" s="116"/>
      <c r="AB978" s="87"/>
      <c r="AC978" s="116"/>
      <c r="AD978" s="116"/>
      <c r="AE978" s="116"/>
      <c r="AF978" s="116"/>
      <c r="AG978" s="116"/>
      <c r="AH978" s="116"/>
      <c r="AI978" s="116"/>
    </row>
    <row r="979" spans="27:35" ht="18">
      <c r="AA979" s="116"/>
      <c r="AB979" s="87"/>
      <c r="AC979" s="116"/>
      <c r="AD979" s="116"/>
      <c r="AE979" s="116"/>
      <c r="AF979" s="116"/>
      <c r="AG979" s="116"/>
      <c r="AH979" s="116"/>
      <c r="AI979" s="116"/>
    </row>
    <row r="980" spans="27:35" ht="18">
      <c r="AA980" s="116"/>
      <c r="AB980" s="87"/>
      <c r="AC980" s="116"/>
      <c r="AD980" s="116"/>
      <c r="AE980" s="116"/>
      <c r="AF980" s="116"/>
      <c r="AG980" s="116"/>
      <c r="AH980" s="116"/>
      <c r="AI980" s="116"/>
    </row>
    <row r="981" spans="27:35" ht="18">
      <c r="AA981" s="116"/>
      <c r="AB981" s="87"/>
      <c r="AC981" s="116"/>
      <c r="AD981" s="116"/>
      <c r="AE981" s="116"/>
      <c r="AF981" s="116"/>
      <c r="AG981" s="116"/>
      <c r="AH981" s="116"/>
      <c r="AI981" s="116"/>
    </row>
    <row r="982" spans="27:35" ht="18">
      <c r="AA982" s="116"/>
      <c r="AB982" s="87"/>
      <c r="AC982" s="116"/>
      <c r="AD982" s="116"/>
      <c r="AE982" s="116"/>
      <c r="AF982" s="116"/>
      <c r="AG982" s="116"/>
      <c r="AH982" s="116"/>
      <c r="AI982" s="116"/>
    </row>
    <row r="983" spans="27:35" ht="18">
      <c r="AA983" s="116"/>
      <c r="AB983" s="87"/>
      <c r="AC983" s="116"/>
      <c r="AD983" s="116"/>
      <c r="AE983" s="116"/>
      <c r="AF983" s="116"/>
      <c r="AG983" s="116"/>
      <c r="AH983" s="116"/>
      <c r="AI983" s="116"/>
    </row>
    <row r="984" spans="27:35" ht="18">
      <c r="AA984" s="116"/>
      <c r="AB984" s="87"/>
      <c r="AC984" s="116"/>
      <c r="AD984" s="116"/>
      <c r="AE984" s="116"/>
      <c r="AF984" s="116"/>
      <c r="AG984" s="116"/>
      <c r="AH984" s="116"/>
      <c r="AI984" s="116"/>
    </row>
    <row r="985" spans="27:35" ht="18">
      <c r="AA985" s="116"/>
      <c r="AB985" s="87"/>
      <c r="AC985" s="116"/>
      <c r="AD985" s="116"/>
      <c r="AE985" s="116"/>
      <c r="AF985" s="116"/>
      <c r="AG985" s="116"/>
      <c r="AH985" s="116"/>
      <c r="AI985" s="116"/>
    </row>
    <row r="986" spans="27:35" ht="18">
      <c r="AA986" s="116"/>
      <c r="AB986" s="87"/>
      <c r="AC986" s="116"/>
      <c r="AD986" s="116"/>
      <c r="AE986" s="116"/>
      <c r="AF986" s="116"/>
      <c r="AG986" s="116"/>
      <c r="AH986" s="116"/>
      <c r="AI986" s="116"/>
    </row>
    <row r="987" spans="27:35" ht="18">
      <c r="AA987" s="116"/>
      <c r="AB987" s="87"/>
      <c r="AC987" s="116"/>
      <c r="AD987" s="116"/>
      <c r="AE987" s="116"/>
      <c r="AF987" s="116"/>
      <c r="AG987" s="116"/>
      <c r="AH987" s="116"/>
      <c r="AI987" s="116"/>
    </row>
    <row r="988" spans="27:35" ht="18">
      <c r="AA988" s="116"/>
      <c r="AB988" s="87"/>
      <c r="AC988" s="116"/>
      <c r="AD988" s="116"/>
      <c r="AE988" s="116"/>
      <c r="AF988" s="116"/>
      <c r="AG988" s="116"/>
      <c r="AH988" s="116"/>
      <c r="AI988" s="116"/>
    </row>
    <row r="989" spans="27:35" ht="18">
      <c r="AA989" s="116"/>
      <c r="AB989" s="87"/>
      <c r="AC989" s="116"/>
      <c r="AD989" s="116"/>
      <c r="AE989" s="116"/>
      <c r="AF989" s="116"/>
      <c r="AG989" s="116"/>
      <c r="AH989" s="116"/>
      <c r="AI989" s="116"/>
    </row>
    <row r="990" spans="27:35" ht="18">
      <c r="AA990" s="116"/>
      <c r="AB990" s="87"/>
      <c r="AC990" s="116"/>
      <c r="AD990" s="116"/>
      <c r="AE990" s="116"/>
      <c r="AF990" s="116"/>
      <c r="AG990" s="116"/>
      <c r="AH990" s="116"/>
      <c r="AI990" s="116"/>
    </row>
    <row r="991" spans="27:35" ht="18">
      <c r="AA991" s="116"/>
      <c r="AB991" s="87"/>
      <c r="AC991" s="116"/>
      <c r="AD991" s="116"/>
      <c r="AE991" s="116"/>
      <c r="AF991" s="116"/>
      <c r="AG991" s="116"/>
      <c r="AH991" s="116"/>
      <c r="AI991" s="116"/>
    </row>
    <row r="992" spans="27:35" ht="18">
      <c r="AA992" s="116"/>
      <c r="AB992" s="87"/>
      <c r="AC992" s="116"/>
      <c r="AD992" s="116"/>
      <c r="AE992" s="116"/>
      <c r="AF992" s="116"/>
      <c r="AG992" s="116"/>
      <c r="AH992" s="116"/>
      <c r="AI992" s="116"/>
    </row>
    <row r="993" spans="27:35" ht="18">
      <c r="AA993" s="116"/>
      <c r="AB993" s="87"/>
      <c r="AC993" s="116"/>
      <c r="AD993" s="116"/>
      <c r="AE993" s="116"/>
      <c r="AF993" s="116"/>
      <c r="AG993" s="116"/>
      <c r="AH993" s="116"/>
      <c r="AI993" s="116"/>
    </row>
    <row r="994" spans="27:35" ht="18">
      <c r="AA994" s="116"/>
      <c r="AB994" s="87"/>
      <c r="AC994" s="116"/>
      <c r="AD994" s="116"/>
      <c r="AE994" s="116"/>
      <c r="AF994" s="116"/>
      <c r="AG994" s="116"/>
      <c r="AH994" s="116"/>
      <c r="AI994" s="116"/>
    </row>
    <row r="995" spans="27:35" ht="18">
      <c r="AA995" s="116"/>
      <c r="AB995" s="184"/>
      <c r="AC995" s="116"/>
      <c r="AD995" s="116"/>
      <c r="AE995" s="116"/>
      <c r="AF995" s="116"/>
      <c r="AG995" s="116"/>
      <c r="AH995" s="116"/>
      <c r="AI995" s="116"/>
    </row>
    <row r="996" spans="27:35" ht="18">
      <c r="AA996" s="116"/>
      <c r="AB996" s="87"/>
      <c r="AC996" s="116"/>
      <c r="AD996" s="116"/>
      <c r="AE996" s="116"/>
      <c r="AF996" s="116"/>
      <c r="AG996" s="116"/>
      <c r="AH996" s="116"/>
      <c r="AI996" s="116"/>
    </row>
    <row r="997" spans="27:35" ht="18">
      <c r="AA997" s="116"/>
      <c r="AB997" s="87"/>
      <c r="AC997" s="116"/>
      <c r="AD997" s="116"/>
      <c r="AE997" s="116"/>
      <c r="AF997" s="116"/>
      <c r="AG997" s="116"/>
      <c r="AH997" s="116"/>
      <c r="AI997" s="116"/>
    </row>
    <row r="998" spans="27:35" ht="18">
      <c r="AA998" s="116"/>
      <c r="AB998" s="87"/>
      <c r="AC998" s="116"/>
      <c r="AD998" s="116"/>
      <c r="AE998" s="117"/>
      <c r="AF998" s="116"/>
      <c r="AG998" s="116"/>
      <c r="AH998" s="116"/>
      <c r="AI998" s="116"/>
    </row>
    <row r="999" spans="27:35" ht="18">
      <c r="AA999" s="116"/>
      <c r="AB999" s="87"/>
      <c r="AC999" s="116"/>
      <c r="AD999" s="116"/>
      <c r="AE999" s="117"/>
      <c r="AF999" s="116"/>
      <c r="AG999" s="116"/>
      <c r="AH999" s="116"/>
      <c r="AI999" s="116"/>
    </row>
    <row r="1000" spans="27:35" ht="18">
      <c r="AA1000" s="116"/>
      <c r="AB1000" s="87"/>
      <c r="AC1000" s="116"/>
      <c r="AD1000" s="116"/>
      <c r="AE1000" s="117"/>
      <c r="AF1000" s="116"/>
      <c r="AG1000" s="116"/>
      <c r="AH1000" s="116"/>
      <c r="AI1000" s="116"/>
    </row>
    <row r="1001" spans="27:35" ht="18">
      <c r="AA1001" s="116"/>
      <c r="AB1001" s="87"/>
      <c r="AC1001" s="116"/>
      <c r="AD1001" s="116"/>
      <c r="AE1001" s="117"/>
      <c r="AF1001" s="116"/>
      <c r="AG1001" s="116"/>
      <c r="AH1001" s="116"/>
      <c r="AI1001" s="116"/>
    </row>
    <row r="1002" spans="27:35" ht="18">
      <c r="AA1002" s="116"/>
      <c r="AB1002" s="87"/>
      <c r="AC1002" s="116"/>
      <c r="AD1002" s="116"/>
      <c r="AE1002" s="117"/>
      <c r="AF1002" s="116"/>
      <c r="AG1002" s="116"/>
      <c r="AH1002" s="116"/>
      <c r="AI1002" s="116"/>
    </row>
    <row r="1003" spans="27:35" ht="18">
      <c r="AA1003" s="116"/>
      <c r="AB1003" s="87"/>
      <c r="AC1003" s="116"/>
      <c r="AD1003" s="116"/>
      <c r="AE1003" s="117"/>
      <c r="AF1003" s="116"/>
      <c r="AG1003" s="116"/>
      <c r="AH1003" s="116"/>
      <c r="AI1003" s="116"/>
    </row>
    <row r="1004" spans="27:35" ht="18">
      <c r="AA1004" s="116"/>
      <c r="AB1004" s="87"/>
      <c r="AC1004" s="116"/>
      <c r="AD1004" s="116"/>
      <c r="AE1004" s="117"/>
      <c r="AF1004" s="116"/>
      <c r="AG1004" s="116"/>
      <c r="AH1004" s="116"/>
      <c r="AI1004" s="116"/>
    </row>
    <row r="1005" spans="27:35" ht="18">
      <c r="AA1005" s="116"/>
      <c r="AB1005" s="87"/>
      <c r="AC1005" s="116"/>
      <c r="AD1005" s="116"/>
      <c r="AE1005" s="117"/>
      <c r="AF1005" s="116"/>
      <c r="AG1005" s="116"/>
      <c r="AH1005" s="116"/>
      <c r="AI1005" s="116"/>
    </row>
    <row r="1006" spans="27:35" ht="18">
      <c r="AA1006" s="116"/>
      <c r="AB1006" s="87"/>
      <c r="AC1006" s="116"/>
      <c r="AD1006" s="116"/>
      <c r="AE1006" s="117"/>
      <c r="AF1006" s="116"/>
      <c r="AG1006" s="116"/>
      <c r="AH1006" s="116"/>
      <c r="AI1006" s="116"/>
    </row>
    <row r="1007" spans="27:35" ht="18">
      <c r="AA1007" s="116"/>
      <c r="AB1007" s="87"/>
      <c r="AC1007" s="116"/>
      <c r="AD1007" s="116"/>
      <c r="AE1007" s="117"/>
      <c r="AF1007" s="116"/>
      <c r="AG1007" s="116"/>
      <c r="AH1007" s="116"/>
      <c r="AI1007" s="116"/>
    </row>
    <row r="1008" spans="27:35" ht="18">
      <c r="AA1008" s="116"/>
      <c r="AB1008" s="87"/>
      <c r="AC1008" s="116"/>
      <c r="AD1008" s="116"/>
      <c r="AE1008" s="117"/>
      <c r="AF1008" s="116"/>
      <c r="AG1008" s="116"/>
      <c r="AH1008" s="116"/>
      <c r="AI1008" s="116"/>
    </row>
    <row r="1009" spans="27:35" ht="18">
      <c r="AA1009" s="116"/>
      <c r="AB1009" s="87"/>
      <c r="AC1009" s="116"/>
      <c r="AD1009" s="116"/>
      <c r="AE1009" s="117"/>
      <c r="AF1009" s="116"/>
      <c r="AG1009" s="116"/>
      <c r="AH1009" s="116"/>
      <c r="AI1009" s="116"/>
    </row>
    <row r="1010" spans="27:35" ht="18">
      <c r="AA1010" s="116"/>
      <c r="AB1010" s="87"/>
      <c r="AC1010" s="116"/>
      <c r="AD1010" s="116"/>
      <c r="AE1010" s="117"/>
      <c r="AF1010" s="116"/>
      <c r="AG1010" s="116"/>
      <c r="AH1010" s="116"/>
      <c r="AI1010" s="116"/>
    </row>
    <row r="1011" spans="27:35" ht="18">
      <c r="AA1011" s="116"/>
      <c r="AB1011" s="87"/>
      <c r="AC1011" s="116"/>
      <c r="AD1011" s="116"/>
      <c r="AE1011" s="117"/>
      <c r="AF1011" s="116"/>
      <c r="AG1011" s="116"/>
      <c r="AH1011" s="116"/>
      <c r="AI1011" s="116"/>
    </row>
    <row r="1012" spans="27:35" ht="18">
      <c r="AA1012" s="116"/>
      <c r="AB1012" s="87"/>
      <c r="AC1012" s="116"/>
      <c r="AD1012" s="116"/>
      <c r="AE1012" s="117"/>
      <c r="AF1012" s="116"/>
      <c r="AG1012" s="116"/>
      <c r="AH1012" s="116"/>
      <c r="AI1012" s="116"/>
    </row>
    <row r="1013" spans="27:35" ht="18">
      <c r="AA1013" s="116"/>
      <c r="AB1013" s="87"/>
      <c r="AC1013" s="116"/>
      <c r="AD1013" s="116"/>
      <c r="AE1013" s="117"/>
      <c r="AF1013" s="116"/>
      <c r="AG1013" s="116"/>
      <c r="AH1013" s="116"/>
      <c r="AI1013" s="116"/>
    </row>
    <row r="1014" spans="27:35" ht="18">
      <c r="AA1014" s="116"/>
      <c r="AB1014" s="87"/>
      <c r="AC1014" s="116"/>
      <c r="AD1014" s="116"/>
      <c r="AE1014" s="117"/>
      <c r="AF1014" s="116"/>
      <c r="AG1014" s="116"/>
      <c r="AH1014" s="116"/>
      <c r="AI1014" s="116"/>
    </row>
    <row r="1015" spans="27:35" ht="18">
      <c r="AA1015" s="116"/>
      <c r="AB1015" s="87"/>
      <c r="AC1015" s="116"/>
      <c r="AD1015" s="116"/>
      <c r="AE1015" s="117"/>
      <c r="AF1015" s="116"/>
      <c r="AG1015" s="116"/>
      <c r="AH1015" s="116"/>
      <c r="AI1015" s="116"/>
    </row>
    <row r="1016" spans="27:35" ht="18">
      <c r="AA1016" s="116"/>
      <c r="AB1016" s="184"/>
      <c r="AC1016" s="116"/>
      <c r="AD1016" s="116"/>
      <c r="AE1016" s="116"/>
      <c r="AF1016" s="116"/>
      <c r="AG1016" s="116"/>
      <c r="AH1016" s="116"/>
      <c r="AI1016" s="116"/>
    </row>
    <row r="1017" spans="27:35" ht="18">
      <c r="AA1017" s="116"/>
      <c r="AB1017" s="87"/>
      <c r="AC1017" s="116"/>
      <c r="AD1017" s="116"/>
      <c r="AE1017" s="116"/>
      <c r="AF1017" s="116"/>
      <c r="AG1017" s="116"/>
      <c r="AH1017" s="116"/>
      <c r="AI1017" s="116"/>
    </row>
    <row r="1018" spans="27:35" ht="18">
      <c r="AA1018" s="116"/>
      <c r="AB1018" s="87"/>
      <c r="AC1018" s="116"/>
      <c r="AD1018" s="116"/>
      <c r="AE1018" s="116"/>
      <c r="AF1018" s="116"/>
      <c r="AG1018" s="116"/>
      <c r="AH1018" s="116"/>
      <c r="AI1018" s="116"/>
    </row>
    <row r="1019" spans="27:35" ht="18">
      <c r="AA1019" s="116"/>
      <c r="AB1019" s="87"/>
      <c r="AC1019" s="116"/>
      <c r="AD1019" s="116"/>
      <c r="AE1019" s="116"/>
      <c r="AF1019" s="116"/>
      <c r="AG1019" s="116"/>
      <c r="AH1019" s="116"/>
      <c r="AI1019" s="116"/>
    </row>
    <row r="1020" spans="27:35" ht="18">
      <c r="AA1020" s="116"/>
      <c r="AB1020" s="87"/>
      <c r="AC1020" s="116"/>
      <c r="AD1020" s="116"/>
      <c r="AE1020" s="116"/>
      <c r="AF1020" s="116"/>
      <c r="AG1020" s="116"/>
      <c r="AH1020" s="116"/>
      <c r="AI1020" s="116"/>
    </row>
    <row r="1021" spans="27:35" ht="18">
      <c r="AA1021" s="116"/>
      <c r="AB1021" s="87"/>
      <c r="AC1021" s="116"/>
      <c r="AD1021" s="116"/>
      <c r="AE1021" s="116"/>
      <c r="AF1021" s="116"/>
      <c r="AG1021" s="116"/>
      <c r="AH1021" s="116"/>
      <c r="AI1021" s="116"/>
    </row>
    <row r="1022" spans="27:35" ht="18">
      <c r="AA1022" s="116"/>
      <c r="AB1022" s="87"/>
      <c r="AC1022" s="116"/>
      <c r="AD1022" s="116"/>
      <c r="AE1022" s="116"/>
      <c r="AF1022" s="116"/>
      <c r="AG1022" s="116"/>
      <c r="AH1022" s="116"/>
      <c r="AI1022" s="116"/>
    </row>
    <row r="1023" spans="27:35" ht="18">
      <c r="AA1023" s="116"/>
      <c r="AB1023" s="87"/>
      <c r="AC1023" s="116"/>
      <c r="AD1023" s="116"/>
      <c r="AE1023" s="116"/>
      <c r="AF1023" s="116"/>
      <c r="AG1023" s="116"/>
      <c r="AH1023" s="116"/>
      <c r="AI1023" s="116"/>
    </row>
    <row r="1024" spans="27:35" ht="18">
      <c r="AA1024" s="116"/>
      <c r="AB1024" s="87"/>
      <c r="AC1024" s="116"/>
      <c r="AD1024" s="116"/>
      <c r="AE1024" s="116"/>
      <c r="AF1024" s="116"/>
      <c r="AG1024" s="116"/>
      <c r="AH1024" s="116"/>
      <c r="AI1024" s="116"/>
    </row>
    <row r="1025" spans="27:35" ht="18">
      <c r="AA1025" s="116"/>
      <c r="AB1025" s="87"/>
      <c r="AC1025" s="116"/>
      <c r="AD1025" s="116"/>
      <c r="AE1025" s="116"/>
      <c r="AF1025" s="116"/>
      <c r="AG1025" s="116"/>
      <c r="AH1025" s="116"/>
      <c r="AI1025" s="116"/>
    </row>
    <row r="1026" spans="27:35" ht="18">
      <c r="AA1026" s="116"/>
      <c r="AB1026" s="87"/>
      <c r="AC1026" s="116"/>
      <c r="AD1026" s="116"/>
      <c r="AE1026" s="116"/>
      <c r="AF1026" s="116"/>
      <c r="AG1026" s="116"/>
      <c r="AH1026" s="116"/>
      <c r="AI1026" s="116"/>
    </row>
    <row r="1027" spans="27:35" ht="18">
      <c r="AA1027" s="116"/>
      <c r="AB1027" s="87"/>
      <c r="AC1027" s="116"/>
      <c r="AD1027" s="116"/>
      <c r="AE1027" s="116"/>
      <c r="AF1027" s="116"/>
      <c r="AG1027" s="116"/>
      <c r="AH1027" s="116"/>
      <c r="AI1027" s="116"/>
    </row>
    <row r="1028" spans="27:35" ht="18">
      <c r="AA1028" s="116"/>
      <c r="AB1028" s="87"/>
      <c r="AC1028" s="116"/>
      <c r="AD1028" s="116"/>
      <c r="AE1028" s="116"/>
      <c r="AF1028" s="116"/>
      <c r="AG1028" s="116"/>
      <c r="AH1028" s="116"/>
      <c r="AI1028" s="116"/>
    </row>
    <row r="1029" spans="27:35" ht="18">
      <c r="AA1029" s="116"/>
      <c r="AB1029" s="87"/>
      <c r="AC1029" s="116"/>
      <c r="AD1029" s="116"/>
      <c r="AE1029" s="116"/>
      <c r="AF1029" s="116"/>
      <c r="AG1029" s="116"/>
      <c r="AH1029" s="116"/>
      <c r="AI1029" s="116"/>
    </row>
    <row r="1030" spans="27:35" ht="18">
      <c r="AA1030" s="116"/>
      <c r="AB1030" s="87"/>
      <c r="AC1030" s="116"/>
      <c r="AD1030" s="116"/>
      <c r="AE1030" s="116"/>
      <c r="AF1030" s="116"/>
      <c r="AG1030" s="116"/>
      <c r="AH1030" s="116"/>
      <c r="AI1030" s="116"/>
    </row>
    <row r="1031" spans="27:35" ht="18">
      <c r="AA1031" s="116"/>
      <c r="AB1031" s="87"/>
      <c r="AC1031" s="116"/>
      <c r="AD1031" s="116"/>
      <c r="AE1031" s="116"/>
      <c r="AF1031" s="116"/>
      <c r="AG1031" s="116"/>
      <c r="AH1031" s="116"/>
      <c r="AI1031" s="116"/>
    </row>
    <row r="1032" spans="27:35" ht="18">
      <c r="AA1032" s="116"/>
      <c r="AB1032" s="87"/>
      <c r="AC1032" s="116"/>
      <c r="AD1032" s="116"/>
      <c r="AE1032" s="116"/>
      <c r="AF1032" s="116"/>
      <c r="AG1032" s="116"/>
      <c r="AH1032" s="116"/>
      <c r="AI1032" s="116"/>
    </row>
    <row r="1033" spans="27:35" ht="18">
      <c r="AA1033" s="116"/>
      <c r="AB1033" s="87"/>
      <c r="AC1033" s="116"/>
      <c r="AD1033" s="116"/>
      <c r="AE1033" s="116"/>
      <c r="AF1033" s="116"/>
      <c r="AG1033" s="116"/>
      <c r="AH1033" s="116"/>
      <c r="AI1033" s="116"/>
    </row>
    <row r="1034" spans="27:35" ht="18">
      <c r="AA1034" s="116"/>
      <c r="AB1034" s="87"/>
      <c r="AC1034" s="116"/>
      <c r="AD1034" s="116"/>
      <c r="AE1034" s="116"/>
      <c r="AF1034" s="116"/>
      <c r="AG1034" s="116"/>
      <c r="AH1034" s="116"/>
      <c r="AI1034" s="116"/>
    </row>
    <row r="1035" spans="27:35" ht="18">
      <c r="AA1035" s="116"/>
      <c r="AB1035" s="184"/>
      <c r="AC1035" s="116"/>
      <c r="AD1035" s="116"/>
      <c r="AE1035" s="116"/>
      <c r="AF1035" s="116"/>
      <c r="AG1035" s="116"/>
      <c r="AH1035" s="116"/>
      <c r="AI1035" s="116"/>
    </row>
    <row r="1036" spans="27:35" ht="18">
      <c r="AA1036" s="116"/>
      <c r="AB1036" s="87"/>
      <c r="AC1036" s="116"/>
      <c r="AD1036" s="116"/>
      <c r="AE1036" s="116"/>
      <c r="AF1036" s="116"/>
      <c r="AG1036" s="116"/>
      <c r="AH1036" s="116"/>
      <c r="AI1036" s="116"/>
    </row>
    <row r="1037" spans="27:35" ht="18">
      <c r="AA1037" s="116"/>
      <c r="AB1037" s="87"/>
      <c r="AC1037" s="116"/>
      <c r="AD1037" s="116"/>
      <c r="AE1037" s="116"/>
      <c r="AF1037" s="116"/>
      <c r="AG1037" s="116"/>
      <c r="AH1037" s="116"/>
      <c r="AI1037" s="116"/>
    </row>
    <row r="1038" spans="27:35" ht="18">
      <c r="AA1038" s="116"/>
      <c r="AB1038" s="184"/>
      <c r="AC1038" s="116"/>
      <c r="AD1038" s="116"/>
      <c r="AE1038" s="116"/>
      <c r="AF1038" s="116"/>
      <c r="AG1038" s="116"/>
      <c r="AH1038" s="116"/>
      <c r="AI1038" s="116"/>
    </row>
    <row r="1039" spans="27:35" ht="18">
      <c r="AA1039" s="116"/>
      <c r="AB1039" s="184"/>
      <c r="AC1039" s="116"/>
      <c r="AD1039" s="116"/>
      <c r="AE1039" s="116"/>
      <c r="AF1039" s="116"/>
      <c r="AG1039" s="116"/>
      <c r="AH1039" s="116"/>
      <c r="AI1039" s="116"/>
    </row>
    <row r="1040" spans="27:35" ht="18">
      <c r="AA1040" s="116"/>
      <c r="AB1040" s="87"/>
      <c r="AC1040" s="116"/>
      <c r="AD1040" s="116"/>
      <c r="AE1040" s="116"/>
      <c r="AF1040" s="116"/>
      <c r="AG1040" s="116"/>
      <c r="AH1040" s="116"/>
      <c r="AI1040" s="116"/>
    </row>
    <row r="1041" spans="27:35" ht="18">
      <c r="AA1041" s="116"/>
      <c r="AB1041" s="87"/>
      <c r="AC1041" s="116"/>
      <c r="AD1041" s="116"/>
      <c r="AE1041" s="116"/>
      <c r="AF1041" s="116"/>
      <c r="AG1041" s="116"/>
      <c r="AH1041" s="116"/>
      <c r="AI1041" s="116"/>
    </row>
    <row r="1042" spans="27:35" ht="18">
      <c r="AA1042" s="116"/>
      <c r="AB1042" s="87"/>
      <c r="AC1042" s="116"/>
      <c r="AD1042" s="116"/>
      <c r="AE1042" s="116"/>
      <c r="AF1042" s="116"/>
      <c r="AG1042" s="116"/>
      <c r="AH1042" s="116"/>
      <c r="AI1042" s="116"/>
    </row>
    <row r="1043" spans="27:35" ht="18">
      <c r="AA1043" s="116"/>
      <c r="AB1043" s="184"/>
      <c r="AC1043" s="116"/>
      <c r="AD1043" s="116"/>
      <c r="AE1043" s="116"/>
      <c r="AF1043" s="116"/>
      <c r="AG1043" s="116"/>
      <c r="AH1043" s="116"/>
      <c r="AI1043" s="116"/>
    </row>
    <row r="1044" spans="27:35" ht="18">
      <c r="AA1044" s="116"/>
      <c r="AB1044" s="87"/>
      <c r="AC1044" s="116"/>
      <c r="AD1044" s="116"/>
      <c r="AE1044" s="116"/>
      <c r="AF1044" s="116"/>
      <c r="AG1044" s="116"/>
      <c r="AH1044" s="116"/>
      <c r="AI1044" s="116"/>
    </row>
    <row r="1045" spans="27:35" ht="18">
      <c r="AA1045" s="116"/>
      <c r="AB1045" s="87"/>
      <c r="AC1045" s="116"/>
      <c r="AD1045" s="116"/>
      <c r="AE1045" s="116"/>
      <c r="AF1045" s="116"/>
      <c r="AG1045" s="116"/>
      <c r="AH1045" s="116"/>
      <c r="AI1045" s="116"/>
    </row>
    <row r="1046" spans="27:35" ht="18">
      <c r="AA1046" s="116"/>
      <c r="AB1046" s="87"/>
      <c r="AC1046" s="116"/>
      <c r="AD1046" s="116"/>
      <c r="AE1046" s="116"/>
      <c r="AF1046" s="116"/>
      <c r="AG1046" s="116"/>
      <c r="AH1046" s="116"/>
      <c r="AI1046" s="116"/>
    </row>
    <row r="1047" spans="27:35" ht="18">
      <c r="AA1047" s="116"/>
      <c r="AB1047" s="87"/>
      <c r="AC1047" s="116"/>
      <c r="AD1047" s="116"/>
      <c r="AE1047" s="116"/>
      <c r="AF1047" s="116"/>
      <c r="AG1047" s="116"/>
      <c r="AH1047" s="116"/>
      <c r="AI1047" s="116"/>
    </row>
    <row r="1048" spans="27:35" ht="18">
      <c r="AA1048" s="116"/>
      <c r="AB1048" s="87"/>
      <c r="AC1048" s="116"/>
      <c r="AD1048" s="116"/>
      <c r="AE1048" s="116"/>
      <c r="AF1048" s="116"/>
      <c r="AG1048" s="116"/>
      <c r="AH1048" s="116"/>
      <c r="AI1048" s="116"/>
    </row>
    <row r="1049" spans="27:35" ht="18">
      <c r="AA1049" s="116"/>
      <c r="AB1049" s="87"/>
      <c r="AC1049" s="116"/>
      <c r="AD1049" s="116"/>
      <c r="AE1049" s="116"/>
      <c r="AF1049" s="116"/>
      <c r="AG1049" s="116"/>
      <c r="AH1049" s="116"/>
      <c r="AI1049" s="116"/>
    </row>
    <row r="1050" spans="27:35" ht="18">
      <c r="AA1050" s="116"/>
      <c r="AB1050" s="184"/>
      <c r="AC1050" s="116"/>
      <c r="AD1050" s="116"/>
      <c r="AE1050" s="116"/>
      <c r="AF1050" s="116"/>
      <c r="AG1050" s="116"/>
      <c r="AH1050" s="116"/>
      <c r="AI1050" s="116"/>
    </row>
    <row r="1051" spans="27:35" ht="18">
      <c r="AA1051" s="116"/>
      <c r="AB1051" s="184"/>
      <c r="AC1051" s="116"/>
      <c r="AD1051" s="116"/>
      <c r="AE1051" s="116"/>
      <c r="AF1051" s="116"/>
      <c r="AG1051" s="116"/>
      <c r="AH1051" s="116"/>
      <c r="AI1051" s="116"/>
    </row>
    <row r="1052" spans="27:35" ht="18">
      <c r="AA1052" s="116"/>
      <c r="AB1052" s="87"/>
      <c r="AC1052" s="116"/>
      <c r="AD1052" s="116"/>
      <c r="AE1052" s="116"/>
      <c r="AF1052" s="116"/>
      <c r="AG1052" s="116"/>
      <c r="AH1052" s="116"/>
      <c r="AI1052" s="116"/>
    </row>
    <row r="1053" spans="27:35" ht="18">
      <c r="AA1053" s="116"/>
      <c r="AB1053" s="87"/>
      <c r="AC1053" s="116"/>
      <c r="AD1053" s="116"/>
      <c r="AE1053" s="116"/>
      <c r="AF1053" s="116"/>
      <c r="AG1053" s="116"/>
      <c r="AH1053" s="116"/>
      <c r="AI1053" s="116"/>
    </row>
    <row r="1054" spans="27:35" ht="18">
      <c r="AA1054" s="116"/>
      <c r="AB1054" s="87"/>
      <c r="AC1054" s="116"/>
      <c r="AD1054" s="116"/>
      <c r="AE1054" s="116"/>
      <c r="AF1054" s="116"/>
      <c r="AG1054" s="116"/>
      <c r="AH1054" s="116"/>
      <c r="AI1054" s="116"/>
    </row>
    <row r="1055" spans="27:35" ht="18">
      <c r="AA1055" s="116"/>
      <c r="AB1055" s="184"/>
      <c r="AC1055" s="116"/>
      <c r="AD1055" s="116"/>
      <c r="AE1055" s="116"/>
      <c r="AF1055" s="116"/>
      <c r="AG1055" s="116"/>
      <c r="AH1055" s="116"/>
      <c r="AI1055" s="116"/>
    </row>
    <row r="1056" spans="27:35" ht="18">
      <c r="AA1056" s="116"/>
      <c r="AB1056" s="184"/>
      <c r="AC1056" s="116"/>
      <c r="AD1056" s="116"/>
      <c r="AE1056" s="116"/>
      <c r="AF1056" s="116"/>
      <c r="AG1056" s="116"/>
      <c r="AH1056" s="116"/>
      <c r="AI1056" s="116"/>
    </row>
    <row r="1057" spans="27:35" ht="18">
      <c r="AA1057" s="116"/>
      <c r="AB1057" s="87"/>
      <c r="AC1057" s="116"/>
      <c r="AD1057" s="116"/>
      <c r="AE1057" s="116"/>
      <c r="AF1057" s="116"/>
      <c r="AG1057" s="116"/>
      <c r="AH1057" s="116"/>
      <c r="AI1057" s="116"/>
    </row>
    <row r="1058" spans="27:35" ht="18">
      <c r="AA1058" s="116"/>
      <c r="AB1058" s="87"/>
      <c r="AC1058" s="116"/>
      <c r="AD1058" s="116"/>
      <c r="AE1058" s="116"/>
      <c r="AF1058" s="116"/>
      <c r="AG1058" s="116"/>
      <c r="AH1058" s="116"/>
      <c r="AI1058" s="116"/>
    </row>
    <row r="1059" spans="27:35" ht="18">
      <c r="AA1059" s="116"/>
      <c r="AB1059" s="87"/>
      <c r="AC1059" s="116"/>
      <c r="AD1059" s="116"/>
      <c r="AE1059" s="116"/>
      <c r="AF1059" s="116"/>
      <c r="AG1059" s="116"/>
      <c r="AH1059" s="116"/>
      <c r="AI1059" s="116"/>
    </row>
    <row r="1060" spans="27:35" ht="18">
      <c r="AA1060" s="116"/>
      <c r="AB1060" s="87"/>
      <c r="AC1060" s="116"/>
      <c r="AD1060" s="116"/>
      <c r="AE1060" s="116"/>
      <c r="AF1060" s="116"/>
      <c r="AG1060" s="116"/>
      <c r="AH1060" s="116"/>
      <c r="AI1060" s="116"/>
    </row>
    <row r="1061" spans="27:35" ht="18">
      <c r="AA1061" s="116"/>
      <c r="AB1061" s="184"/>
      <c r="AC1061" s="116"/>
      <c r="AD1061" s="116"/>
      <c r="AE1061" s="116"/>
      <c r="AF1061" s="116"/>
      <c r="AG1061" s="116"/>
      <c r="AH1061" s="116"/>
      <c r="AI1061" s="116"/>
    </row>
    <row r="1062" spans="27:35" ht="18">
      <c r="AA1062" s="116"/>
      <c r="AB1062" s="184"/>
      <c r="AC1062" s="116"/>
      <c r="AD1062" s="116"/>
      <c r="AE1062" s="116"/>
      <c r="AF1062" s="116"/>
      <c r="AG1062" s="116"/>
      <c r="AH1062" s="116"/>
      <c r="AI1062" s="116"/>
    </row>
    <row r="1063" spans="27:35" ht="18">
      <c r="AA1063" s="116"/>
      <c r="AB1063" s="87"/>
      <c r="AC1063" s="116"/>
      <c r="AD1063" s="116"/>
      <c r="AE1063" s="116"/>
      <c r="AF1063" s="116"/>
      <c r="AG1063" s="116"/>
      <c r="AH1063" s="116"/>
      <c r="AI1063" s="116"/>
    </row>
    <row r="1064" spans="27:35" ht="18">
      <c r="AA1064" s="116"/>
      <c r="AB1064" s="87"/>
      <c r="AC1064" s="116"/>
      <c r="AD1064" s="116"/>
      <c r="AE1064" s="116"/>
      <c r="AF1064" s="116"/>
      <c r="AG1064" s="116"/>
      <c r="AH1064" s="116"/>
      <c r="AI1064" s="116"/>
    </row>
    <row r="1065" spans="27:35" ht="18">
      <c r="AA1065" s="116"/>
      <c r="AB1065" s="87"/>
      <c r="AC1065" s="116"/>
      <c r="AD1065" s="116"/>
      <c r="AE1065" s="116"/>
      <c r="AF1065" s="116"/>
      <c r="AG1065" s="116"/>
      <c r="AH1065" s="116"/>
      <c r="AI1065" s="116"/>
    </row>
    <row r="1066" spans="27:35" ht="18">
      <c r="AA1066" s="116"/>
      <c r="AB1066" s="87"/>
      <c r="AC1066" s="116"/>
      <c r="AD1066" s="116"/>
      <c r="AE1066" s="116"/>
      <c r="AF1066" s="116"/>
      <c r="AG1066" s="116"/>
      <c r="AH1066" s="116"/>
      <c r="AI1066" s="116"/>
    </row>
    <row r="1067" spans="27:35" ht="18">
      <c r="AA1067" s="116"/>
      <c r="AB1067" s="87"/>
      <c r="AC1067" s="116"/>
      <c r="AD1067" s="116"/>
      <c r="AE1067" s="116"/>
      <c r="AF1067" s="116"/>
      <c r="AG1067" s="116"/>
      <c r="AH1067" s="116"/>
      <c r="AI1067" s="116"/>
    </row>
    <row r="1068" spans="27:35" ht="18">
      <c r="AA1068" s="116"/>
      <c r="AB1068" s="87"/>
      <c r="AC1068" s="116"/>
      <c r="AD1068" s="116"/>
      <c r="AE1068" s="116"/>
      <c r="AF1068" s="116"/>
      <c r="AG1068" s="116"/>
      <c r="AH1068" s="116"/>
      <c r="AI1068" s="116"/>
    </row>
    <row r="1069" spans="27:35" ht="18">
      <c r="AA1069" s="116"/>
      <c r="AB1069" s="87"/>
      <c r="AC1069" s="116"/>
      <c r="AD1069" s="116"/>
      <c r="AE1069" s="116"/>
      <c r="AF1069" s="116"/>
      <c r="AG1069" s="116"/>
      <c r="AH1069" s="116"/>
      <c r="AI1069" s="116"/>
    </row>
    <row r="1070" spans="27:35" ht="18">
      <c r="AA1070" s="116"/>
      <c r="AB1070" s="87"/>
      <c r="AC1070" s="116"/>
      <c r="AD1070" s="116"/>
      <c r="AE1070" s="116"/>
      <c r="AF1070" s="116"/>
      <c r="AG1070" s="116"/>
      <c r="AH1070" s="116"/>
      <c r="AI1070" s="116"/>
    </row>
    <row r="1071" spans="27:35" ht="18">
      <c r="AA1071" s="116"/>
      <c r="AB1071" s="87"/>
      <c r="AC1071" s="116"/>
      <c r="AD1071" s="116"/>
      <c r="AE1071" s="116"/>
      <c r="AF1071" s="116"/>
      <c r="AG1071" s="116"/>
      <c r="AH1071" s="116"/>
      <c r="AI1071" s="116"/>
    </row>
    <row r="1072" spans="27:35" ht="18">
      <c r="AA1072" s="116"/>
      <c r="AB1072" s="87"/>
      <c r="AC1072" s="116"/>
      <c r="AD1072" s="116"/>
      <c r="AE1072" s="116"/>
      <c r="AF1072" s="116"/>
      <c r="AG1072" s="116"/>
      <c r="AH1072" s="116"/>
      <c r="AI1072" s="116"/>
    </row>
    <row r="1073" spans="27:35" ht="18">
      <c r="AA1073" s="116"/>
      <c r="AB1073" s="87"/>
      <c r="AC1073" s="116"/>
      <c r="AD1073" s="116"/>
      <c r="AE1073" s="116"/>
      <c r="AF1073" s="116"/>
      <c r="AG1073" s="116"/>
      <c r="AH1073" s="116"/>
      <c r="AI1073" s="116"/>
    </row>
    <row r="1074" spans="27:35" ht="18">
      <c r="AA1074" s="116"/>
      <c r="AB1074" s="87"/>
      <c r="AC1074" s="116"/>
      <c r="AD1074" s="116"/>
      <c r="AE1074" s="116"/>
      <c r="AF1074" s="116"/>
      <c r="AG1074" s="116"/>
      <c r="AH1074" s="116"/>
      <c r="AI1074" s="116"/>
    </row>
    <row r="1075" spans="27:35" ht="18">
      <c r="AA1075" s="116"/>
      <c r="AB1075" s="87"/>
      <c r="AC1075" s="116"/>
      <c r="AD1075" s="116"/>
      <c r="AE1075" s="116"/>
      <c r="AF1075" s="116"/>
      <c r="AG1075" s="116"/>
      <c r="AH1075" s="116"/>
      <c r="AI1075" s="116"/>
    </row>
    <row r="1076" spans="27:35" ht="18">
      <c r="AA1076" s="116"/>
      <c r="AB1076" s="87"/>
      <c r="AC1076" s="116"/>
      <c r="AD1076" s="116"/>
      <c r="AE1076" s="116"/>
      <c r="AF1076" s="116"/>
      <c r="AG1076" s="116"/>
      <c r="AH1076" s="116"/>
      <c r="AI1076" s="116"/>
    </row>
    <row r="1077" spans="27:35" ht="18">
      <c r="AA1077" s="116"/>
      <c r="AB1077" s="87"/>
      <c r="AC1077" s="116"/>
      <c r="AD1077" s="116"/>
      <c r="AE1077" s="116"/>
      <c r="AF1077" s="116"/>
      <c r="AG1077" s="116"/>
      <c r="AH1077" s="116"/>
      <c r="AI1077" s="116"/>
    </row>
    <row r="1078" spans="27:35" ht="18">
      <c r="AA1078" s="116"/>
      <c r="AB1078" s="87"/>
      <c r="AC1078" s="116"/>
      <c r="AD1078" s="116"/>
      <c r="AE1078" s="116"/>
      <c r="AF1078" s="116"/>
      <c r="AG1078" s="116"/>
      <c r="AH1078" s="116"/>
      <c r="AI1078" s="116"/>
    </row>
    <row r="1079" spans="27:35" ht="18">
      <c r="AA1079" s="116"/>
      <c r="AB1079" s="87"/>
      <c r="AC1079" s="116"/>
      <c r="AD1079" s="116"/>
      <c r="AE1079" s="116"/>
      <c r="AF1079" s="116"/>
      <c r="AG1079" s="116"/>
      <c r="AH1079" s="116"/>
      <c r="AI1079" s="116"/>
    </row>
    <row r="1080" spans="27:35" ht="18">
      <c r="AA1080" s="116"/>
      <c r="AB1080" s="87"/>
      <c r="AC1080" s="116"/>
      <c r="AD1080" s="116"/>
      <c r="AE1080" s="116"/>
      <c r="AF1080" s="116"/>
      <c r="AG1080" s="116"/>
      <c r="AH1080" s="116"/>
      <c r="AI1080" s="116"/>
    </row>
    <row r="1081" spans="27:35" ht="18">
      <c r="AA1081" s="116"/>
      <c r="AB1081" s="87"/>
      <c r="AC1081" s="116"/>
      <c r="AD1081" s="116"/>
      <c r="AE1081" s="116"/>
      <c r="AF1081" s="116"/>
      <c r="AG1081" s="116"/>
      <c r="AH1081" s="116"/>
      <c r="AI1081" s="116"/>
    </row>
    <row r="1082" spans="27:35" ht="18">
      <c r="AA1082" s="116"/>
      <c r="AB1082" s="184"/>
      <c r="AC1082" s="116"/>
      <c r="AD1082" s="116"/>
      <c r="AE1082" s="116"/>
      <c r="AF1082" s="116"/>
      <c r="AG1082" s="116"/>
      <c r="AH1082" s="116"/>
      <c r="AI1082" s="116"/>
    </row>
    <row r="1083" spans="27:35" ht="18">
      <c r="AA1083" s="116"/>
      <c r="AB1083" s="87"/>
      <c r="AC1083" s="116"/>
      <c r="AD1083" s="116"/>
      <c r="AE1083" s="116"/>
      <c r="AF1083" s="116"/>
      <c r="AG1083" s="116"/>
      <c r="AH1083" s="116"/>
      <c r="AI1083" s="116"/>
    </row>
    <row r="1084" spans="27:35" ht="18">
      <c r="AA1084" s="116"/>
      <c r="AB1084" s="87"/>
      <c r="AC1084" s="116"/>
      <c r="AD1084" s="116"/>
      <c r="AE1084" s="116"/>
      <c r="AF1084" s="116"/>
      <c r="AG1084" s="116"/>
      <c r="AH1084" s="116"/>
      <c r="AI1084" s="116"/>
    </row>
    <row r="1085" spans="27:35" ht="18">
      <c r="AA1085" s="116"/>
      <c r="AB1085" s="87"/>
      <c r="AC1085" s="116"/>
      <c r="AD1085" s="116"/>
      <c r="AE1085" s="116"/>
      <c r="AF1085" s="116"/>
      <c r="AG1085" s="116"/>
      <c r="AH1085" s="116"/>
      <c r="AI1085" s="116"/>
    </row>
    <row r="1086" spans="27:35" ht="18">
      <c r="AA1086" s="116"/>
      <c r="AB1086" s="87"/>
      <c r="AC1086" s="116"/>
      <c r="AD1086" s="116"/>
      <c r="AE1086" s="116"/>
      <c r="AF1086" s="116"/>
      <c r="AG1086" s="116"/>
      <c r="AH1086" s="116"/>
      <c r="AI1086" s="116"/>
    </row>
    <row r="1087" spans="27:35" ht="18">
      <c r="AA1087" s="116"/>
      <c r="AB1087" s="87"/>
      <c r="AC1087" s="116"/>
      <c r="AD1087" s="116"/>
      <c r="AE1087" s="116"/>
      <c r="AF1087" s="116"/>
      <c r="AG1087" s="116"/>
      <c r="AH1087" s="116"/>
      <c r="AI1087" s="116"/>
    </row>
    <row r="1088" spans="27:35" ht="18">
      <c r="AA1088" s="116"/>
      <c r="AB1088" s="87"/>
      <c r="AC1088" s="116"/>
      <c r="AD1088" s="116"/>
      <c r="AE1088" s="116"/>
      <c r="AF1088" s="116"/>
      <c r="AG1088" s="116"/>
      <c r="AH1088" s="116"/>
      <c r="AI1088" s="116"/>
    </row>
    <row r="1089" spans="27:35" ht="18">
      <c r="AA1089" s="116"/>
      <c r="AB1089" s="87"/>
      <c r="AC1089" s="116"/>
      <c r="AD1089" s="116"/>
      <c r="AE1089" s="116"/>
      <c r="AF1089" s="116"/>
      <c r="AG1089" s="116"/>
      <c r="AH1089" s="116"/>
      <c r="AI1089" s="116"/>
    </row>
    <row r="1090" spans="27:35" ht="18">
      <c r="AA1090" s="116"/>
      <c r="AB1090" s="87"/>
      <c r="AC1090" s="116"/>
      <c r="AD1090" s="116"/>
      <c r="AE1090" s="116"/>
      <c r="AF1090" s="116"/>
      <c r="AG1090" s="116"/>
      <c r="AH1090" s="116"/>
      <c r="AI1090" s="116"/>
    </row>
    <row r="1091" spans="27:35" ht="18">
      <c r="AA1091" s="116"/>
      <c r="AB1091" s="87"/>
      <c r="AC1091" s="116"/>
      <c r="AD1091" s="116"/>
      <c r="AE1091" s="116"/>
      <c r="AF1091" s="116"/>
      <c r="AG1091" s="116"/>
      <c r="AH1091" s="116"/>
      <c r="AI1091" s="116"/>
    </row>
    <row r="1092" spans="27:35" ht="18">
      <c r="AA1092" s="116"/>
      <c r="AB1092" s="87"/>
      <c r="AC1092" s="116"/>
      <c r="AD1092" s="116"/>
      <c r="AE1092" s="116"/>
      <c r="AF1092" s="116"/>
      <c r="AG1092" s="116"/>
      <c r="AH1092" s="116"/>
      <c r="AI1092" s="116"/>
    </row>
    <row r="1093" spans="27:35" ht="18">
      <c r="AA1093" s="116"/>
      <c r="AB1093" s="87"/>
      <c r="AC1093" s="116"/>
      <c r="AD1093" s="116"/>
      <c r="AE1093" s="116"/>
      <c r="AF1093" s="116"/>
      <c r="AG1093" s="116"/>
      <c r="AH1093" s="116"/>
      <c r="AI1093" s="116"/>
    </row>
    <row r="1094" spans="27:35" ht="18">
      <c r="AA1094" s="116"/>
      <c r="AB1094" s="87"/>
      <c r="AC1094" s="116"/>
      <c r="AD1094" s="116"/>
      <c r="AE1094" s="116"/>
      <c r="AF1094" s="116"/>
      <c r="AG1094" s="116"/>
      <c r="AH1094" s="116"/>
      <c r="AI1094" s="116"/>
    </row>
    <row r="1095" spans="27:35" ht="18">
      <c r="AA1095" s="116"/>
      <c r="AB1095" s="87"/>
      <c r="AC1095" s="116"/>
      <c r="AD1095" s="116"/>
      <c r="AE1095" s="116"/>
      <c r="AF1095" s="116"/>
      <c r="AG1095" s="116"/>
      <c r="AH1095" s="116"/>
      <c r="AI1095" s="116"/>
    </row>
    <row r="1096" spans="27:35" ht="18">
      <c r="AA1096" s="116"/>
      <c r="AB1096" s="87"/>
      <c r="AC1096" s="116"/>
      <c r="AD1096" s="116"/>
      <c r="AE1096" s="116"/>
      <c r="AF1096" s="116"/>
      <c r="AG1096" s="116"/>
      <c r="AH1096" s="116"/>
      <c r="AI1096" s="116"/>
    </row>
    <row r="1097" spans="27:35" ht="18">
      <c r="AA1097" s="116"/>
      <c r="AB1097" s="87"/>
      <c r="AC1097" s="116"/>
      <c r="AD1097" s="116"/>
      <c r="AE1097" s="116"/>
      <c r="AF1097" s="116"/>
      <c r="AG1097" s="116"/>
      <c r="AH1097" s="116"/>
      <c r="AI1097" s="116"/>
    </row>
    <row r="1098" spans="27:35" ht="18">
      <c r="AA1098" s="116"/>
      <c r="AB1098" s="87"/>
      <c r="AC1098" s="116"/>
      <c r="AD1098" s="116"/>
      <c r="AE1098" s="116"/>
      <c r="AF1098" s="116"/>
      <c r="AG1098" s="116"/>
      <c r="AH1098" s="116"/>
      <c r="AI1098" s="116"/>
    </row>
    <row r="1099" spans="27:35" ht="18">
      <c r="AA1099" s="116"/>
      <c r="AB1099" s="87"/>
      <c r="AC1099" s="116"/>
      <c r="AD1099" s="116"/>
      <c r="AE1099" s="116"/>
      <c r="AF1099" s="116"/>
      <c r="AG1099" s="116"/>
      <c r="AH1099" s="116"/>
      <c r="AI1099" s="116"/>
    </row>
    <row r="1100" spans="27:35" ht="18">
      <c r="AA1100" s="116"/>
      <c r="AB1100" s="87"/>
      <c r="AC1100" s="116"/>
      <c r="AD1100" s="116"/>
      <c r="AE1100" s="117"/>
      <c r="AF1100" s="116"/>
      <c r="AG1100" s="116"/>
      <c r="AH1100" s="116"/>
      <c r="AI1100" s="116"/>
    </row>
    <row r="1101" spans="27:35" ht="18">
      <c r="AA1101" s="116"/>
      <c r="AB1101" s="87"/>
      <c r="AC1101" s="116"/>
      <c r="AD1101" s="116"/>
      <c r="AE1101" s="117"/>
      <c r="AF1101" s="116"/>
      <c r="AG1101" s="116"/>
      <c r="AH1101" s="116"/>
      <c r="AI1101" s="116"/>
    </row>
    <row r="1102" spans="27:35" ht="18">
      <c r="AA1102" s="116"/>
      <c r="AB1102" s="87"/>
      <c r="AC1102" s="116"/>
      <c r="AD1102" s="116"/>
      <c r="AE1102" s="117"/>
      <c r="AF1102" s="116"/>
      <c r="AG1102" s="116"/>
      <c r="AH1102" s="116"/>
      <c r="AI1102" s="116"/>
    </row>
    <row r="1103" spans="27:35" ht="18">
      <c r="AA1103" s="116"/>
      <c r="AB1103" s="87"/>
      <c r="AC1103" s="116"/>
      <c r="AD1103" s="116"/>
      <c r="AE1103" s="117"/>
      <c r="AF1103" s="116"/>
      <c r="AG1103" s="116"/>
      <c r="AH1103" s="116"/>
      <c r="AI1103" s="116"/>
    </row>
    <row r="1104" spans="27:35" ht="18">
      <c r="AA1104" s="116"/>
      <c r="AB1104" s="87"/>
      <c r="AC1104" s="116"/>
      <c r="AD1104" s="116"/>
      <c r="AE1104" s="117"/>
      <c r="AF1104" s="116"/>
      <c r="AG1104" s="116"/>
      <c r="AH1104" s="116"/>
      <c r="AI1104" s="116"/>
    </row>
    <row r="1105" spans="27:35" ht="18">
      <c r="AA1105" s="116"/>
      <c r="AB1105" s="87"/>
      <c r="AC1105" s="116"/>
      <c r="AD1105" s="116"/>
      <c r="AE1105" s="117"/>
      <c r="AF1105" s="116"/>
      <c r="AG1105" s="116"/>
      <c r="AH1105" s="116"/>
      <c r="AI1105" s="116"/>
    </row>
    <row r="1106" spans="27:35" ht="18">
      <c r="AA1106" s="116"/>
      <c r="AB1106" s="87"/>
      <c r="AC1106" s="116"/>
      <c r="AD1106" s="116"/>
      <c r="AE1106" s="117"/>
      <c r="AF1106" s="116"/>
      <c r="AG1106" s="116"/>
      <c r="AH1106" s="116"/>
      <c r="AI1106" s="116"/>
    </row>
    <row r="1107" spans="27:35" ht="18">
      <c r="AA1107" s="116"/>
      <c r="AB1107" s="87"/>
      <c r="AC1107" s="116"/>
      <c r="AD1107" s="116"/>
      <c r="AE1107" s="117"/>
      <c r="AF1107" s="116"/>
      <c r="AG1107" s="116"/>
      <c r="AH1107" s="116"/>
      <c r="AI1107" s="116"/>
    </row>
    <row r="1108" spans="27:35" ht="18">
      <c r="AA1108" s="116"/>
      <c r="AB1108" s="87"/>
      <c r="AC1108" s="116"/>
      <c r="AD1108" s="116"/>
      <c r="AE1108" s="117"/>
      <c r="AF1108" s="116"/>
      <c r="AG1108" s="116"/>
      <c r="AH1108" s="116"/>
      <c r="AI1108" s="116"/>
    </row>
    <row r="1109" spans="27:35" ht="18">
      <c r="AA1109" s="116"/>
      <c r="AB1109" s="87"/>
      <c r="AC1109" s="116"/>
      <c r="AD1109" s="116"/>
      <c r="AE1109" s="116"/>
      <c r="AF1109" s="116"/>
      <c r="AG1109" s="116"/>
      <c r="AH1109" s="116"/>
      <c r="AI1109" s="116"/>
    </row>
    <row r="1110" spans="27:35" ht="18">
      <c r="AA1110" s="116"/>
      <c r="AB1110" s="87"/>
      <c r="AC1110" s="116"/>
      <c r="AD1110" s="116"/>
      <c r="AE1110" s="116"/>
      <c r="AF1110" s="116"/>
      <c r="AG1110" s="116"/>
      <c r="AH1110" s="116"/>
      <c r="AI1110" s="116"/>
    </row>
    <row r="1111" spans="27:35" ht="18">
      <c r="AA1111" s="116"/>
      <c r="AB1111" s="87"/>
      <c r="AC1111" s="116"/>
      <c r="AD1111" s="116"/>
      <c r="AE1111" s="116"/>
      <c r="AF1111" s="116"/>
      <c r="AG1111" s="116"/>
      <c r="AH1111" s="116"/>
      <c r="AI1111" s="116"/>
    </row>
    <row r="1112" spans="27:35" ht="18">
      <c r="AA1112" s="116"/>
      <c r="AB1112" s="87"/>
      <c r="AC1112" s="116"/>
      <c r="AD1112" s="116"/>
      <c r="AE1112" s="116"/>
      <c r="AF1112" s="116"/>
      <c r="AG1112" s="116"/>
      <c r="AH1112" s="116"/>
      <c r="AI1112" s="116"/>
    </row>
    <row r="1113" spans="27:35" ht="18">
      <c r="AA1113" s="116"/>
      <c r="AB1113" s="87"/>
      <c r="AC1113" s="116"/>
      <c r="AD1113" s="116"/>
      <c r="AE1113" s="116"/>
      <c r="AF1113" s="116"/>
      <c r="AG1113" s="116"/>
      <c r="AH1113" s="116"/>
      <c r="AI1113" s="116"/>
    </row>
    <row r="1114" spans="27:35" ht="18">
      <c r="AA1114" s="116"/>
      <c r="AB1114" s="87"/>
      <c r="AC1114" s="116"/>
      <c r="AD1114" s="116"/>
      <c r="AE1114" s="116"/>
      <c r="AF1114" s="116"/>
      <c r="AG1114" s="116"/>
      <c r="AH1114" s="116"/>
      <c r="AI1114" s="116"/>
    </row>
    <row r="1115" spans="27:35" ht="18">
      <c r="AA1115" s="116"/>
      <c r="AB1115" s="87"/>
      <c r="AC1115" s="116"/>
      <c r="AD1115" s="116"/>
      <c r="AE1115" s="116"/>
      <c r="AF1115" s="116"/>
      <c r="AG1115" s="116"/>
      <c r="AH1115" s="116"/>
      <c r="AI1115" s="116"/>
    </row>
    <row r="1116" spans="27:35" ht="18">
      <c r="AA1116" s="116"/>
      <c r="AB1116" s="184"/>
      <c r="AC1116" s="116"/>
      <c r="AD1116" s="116"/>
      <c r="AE1116" s="116"/>
      <c r="AF1116" s="116"/>
      <c r="AG1116" s="116"/>
      <c r="AH1116" s="116"/>
      <c r="AI1116" s="116"/>
    </row>
    <row r="1117" spans="27:35" ht="18">
      <c r="AA1117" s="116"/>
      <c r="AB1117" s="184"/>
      <c r="AC1117" s="116"/>
      <c r="AD1117" s="116"/>
      <c r="AE1117" s="116"/>
      <c r="AF1117" s="116"/>
      <c r="AG1117" s="116"/>
      <c r="AH1117" s="116"/>
      <c r="AI1117" s="116"/>
    </row>
    <row r="1118" spans="27:35" ht="18">
      <c r="AA1118" s="116"/>
      <c r="AB1118" s="87"/>
      <c r="AC1118" s="116"/>
      <c r="AD1118" s="116"/>
      <c r="AE1118" s="116"/>
      <c r="AF1118" s="116"/>
      <c r="AG1118" s="116"/>
      <c r="AH1118" s="116"/>
      <c r="AI1118" s="116"/>
    </row>
    <row r="1119" spans="27:35" ht="18">
      <c r="AA1119" s="116"/>
      <c r="AB1119" s="87"/>
      <c r="AC1119" s="116"/>
      <c r="AD1119" s="116"/>
      <c r="AE1119" s="116"/>
      <c r="AF1119" s="116"/>
      <c r="AG1119" s="116"/>
      <c r="AH1119" s="116"/>
      <c r="AI1119" s="116"/>
    </row>
    <row r="1120" spans="27:35" ht="18">
      <c r="AA1120" s="116"/>
      <c r="AB1120" s="87"/>
      <c r="AC1120" s="116"/>
      <c r="AD1120" s="116"/>
      <c r="AE1120" s="116"/>
      <c r="AF1120" s="116"/>
      <c r="AG1120" s="116"/>
      <c r="AH1120" s="116"/>
      <c r="AI1120" s="116"/>
    </row>
    <row r="1121" spans="27:35" ht="18">
      <c r="AA1121" s="116"/>
      <c r="AB1121" s="87"/>
      <c r="AC1121" s="116"/>
      <c r="AD1121" s="116"/>
      <c r="AE1121" s="116"/>
      <c r="AF1121" s="116"/>
      <c r="AG1121" s="116"/>
      <c r="AH1121" s="116"/>
      <c r="AI1121" s="116"/>
    </row>
    <row r="1122" spans="27:35" ht="18">
      <c r="AA1122" s="116"/>
      <c r="AB1122" s="87"/>
      <c r="AC1122" s="116"/>
      <c r="AD1122" s="116"/>
      <c r="AE1122" s="116"/>
      <c r="AF1122" s="116"/>
      <c r="AG1122" s="116"/>
      <c r="AH1122" s="116"/>
      <c r="AI1122" s="116"/>
    </row>
    <row r="1123" spans="27:35" ht="18">
      <c r="AA1123" s="116"/>
      <c r="AB1123" s="87"/>
      <c r="AC1123" s="116"/>
      <c r="AD1123" s="116"/>
      <c r="AE1123" s="116"/>
      <c r="AF1123" s="116"/>
      <c r="AG1123" s="116"/>
      <c r="AH1123" s="116"/>
      <c r="AI1123" s="116"/>
    </row>
    <row r="1124" spans="27:35" ht="18">
      <c r="AA1124" s="116"/>
      <c r="AB1124" s="87"/>
      <c r="AC1124" s="116"/>
      <c r="AD1124" s="116"/>
      <c r="AE1124" s="116"/>
      <c r="AF1124" s="116"/>
      <c r="AG1124" s="116"/>
      <c r="AH1124" s="116"/>
      <c r="AI1124" s="116"/>
    </row>
    <row r="1125" spans="27:35" ht="18">
      <c r="AA1125" s="116"/>
      <c r="AB1125" s="87"/>
      <c r="AC1125" s="116"/>
      <c r="AD1125" s="116"/>
      <c r="AE1125" s="116"/>
      <c r="AF1125" s="116"/>
      <c r="AG1125" s="116"/>
      <c r="AH1125" s="116"/>
      <c r="AI1125" s="116"/>
    </row>
    <row r="1126" spans="27:35" ht="18">
      <c r="AA1126" s="116"/>
      <c r="AB1126" s="87"/>
      <c r="AC1126" s="116"/>
      <c r="AD1126" s="116"/>
      <c r="AE1126" s="116"/>
      <c r="AF1126" s="116"/>
      <c r="AG1126" s="116"/>
      <c r="AH1126" s="116"/>
      <c r="AI1126" s="116"/>
    </row>
    <row r="1127" spans="27:35" ht="18">
      <c r="AA1127" s="116"/>
      <c r="AB1127" s="87"/>
      <c r="AC1127" s="116"/>
      <c r="AD1127" s="116"/>
      <c r="AE1127" s="116"/>
      <c r="AF1127" s="116"/>
      <c r="AG1127" s="116"/>
      <c r="AH1127" s="116"/>
      <c r="AI1127" s="116"/>
    </row>
    <row r="1128" spans="27:35" ht="18">
      <c r="AA1128" s="116"/>
      <c r="AB1128" s="87"/>
      <c r="AC1128" s="116"/>
      <c r="AD1128" s="116"/>
      <c r="AE1128" s="116"/>
      <c r="AF1128" s="116"/>
      <c r="AG1128" s="116"/>
      <c r="AH1128" s="116"/>
      <c r="AI1128" s="116"/>
    </row>
    <row r="1129" spans="27:35" ht="18">
      <c r="AA1129" s="116"/>
      <c r="AB1129" s="87"/>
      <c r="AC1129" s="116"/>
      <c r="AD1129" s="116"/>
      <c r="AE1129" s="116"/>
      <c r="AF1129" s="116"/>
      <c r="AG1129" s="116"/>
      <c r="AH1129" s="116"/>
      <c r="AI1129" s="116"/>
    </row>
    <row r="1130" spans="27:35" ht="18">
      <c r="AA1130" s="116"/>
      <c r="AB1130" s="87"/>
      <c r="AC1130" s="116"/>
      <c r="AD1130" s="116"/>
      <c r="AE1130" s="116"/>
      <c r="AF1130" s="116"/>
      <c r="AG1130" s="116"/>
      <c r="AH1130" s="116"/>
      <c r="AI1130" s="116"/>
    </row>
    <row r="1131" spans="27:35" ht="18">
      <c r="AA1131" s="116"/>
      <c r="AB1131" s="87"/>
      <c r="AC1131" s="116"/>
      <c r="AD1131" s="116"/>
      <c r="AE1131" s="116"/>
      <c r="AF1131" s="116"/>
      <c r="AG1131" s="116"/>
      <c r="AH1131" s="116"/>
      <c r="AI1131" s="116"/>
    </row>
    <row r="1132" spans="27:35" ht="18">
      <c r="AA1132" s="116"/>
      <c r="AB1132" s="87"/>
      <c r="AC1132" s="116"/>
      <c r="AD1132" s="116"/>
      <c r="AE1132" s="116"/>
      <c r="AF1132" s="116"/>
      <c r="AG1132" s="116"/>
      <c r="AH1132" s="116"/>
      <c r="AI1132" s="116"/>
    </row>
    <row r="1133" spans="27:35" ht="18">
      <c r="AA1133" s="116"/>
      <c r="AB1133" s="87"/>
      <c r="AC1133" s="116"/>
      <c r="AD1133" s="116"/>
      <c r="AE1133" s="116"/>
      <c r="AF1133" s="116"/>
      <c r="AG1133" s="116"/>
      <c r="AH1133" s="116"/>
      <c r="AI1133" s="116"/>
    </row>
    <row r="1134" spans="27:35" ht="18">
      <c r="AA1134" s="116"/>
      <c r="AB1134" s="87"/>
      <c r="AC1134" s="116"/>
      <c r="AD1134" s="116"/>
      <c r="AE1134" s="116"/>
      <c r="AF1134" s="116"/>
      <c r="AG1134" s="116"/>
      <c r="AH1134" s="116"/>
      <c r="AI1134" s="116"/>
    </row>
    <row r="1135" spans="27:35" ht="18">
      <c r="AA1135" s="116"/>
      <c r="AB1135" s="87"/>
      <c r="AC1135" s="116"/>
      <c r="AD1135" s="116"/>
      <c r="AE1135" s="116"/>
      <c r="AF1135" s="116"/>
      <c r="AG1135" s="116"/>
      <c r="AH1135" s="116"/>
      <c r="AI1135" s="116"/>
    </row>
    <row r="1136" spans="27:35" ht="18">
      <c r="AA1136" s="116"/>
      <c r="AB1136" s="87"/>
      <c r="AC1136" s="116"/>
      <c r="AD1136" s="116"/>
      <c r="AE1136" s="116"/>
      <c r="AF1136" s="116"/>
      <c r="AG1136" s="116"/>
      <c r="AH1136" s="116"/>
      <c r="AI1136" s="116"/>
    </row>
    <row r="1137" spans="27:35" ht="18">
      <c r="AA1137" s="116"/>
      <c r="AB1137" s="87"/>
      <c r="AC1137" s="116"/>
      <c r="AD1137" s="116"/>
      <c r="AE1137" s="116"/>
      <c r="AF1137" s="116"/>
      <c r="AG1137" s="116"/>
      <c r="AH1137" s="116"/>
      <c r="AI1137" s="116"/>
    </row>
    <row r="1138" spans="27:35" ht="18">
      <c r="AA1138" s="116"/>
      <c r="AB1138" s="87"/>
      <c r="AC1138" s="116"/>
      <c r="AD1138" s="116"/>
      <c r="AE1138" s="116"/>
      <c r="AF1138" s="116"/>
      <c r="AG1138" s="116"/>
      <c r="AH1138" s="116"/>
      <c r="AI1138" s="116"/>
    </row>
    <row r="1139" spans="27:35" ht="18">
      <c r="AA1139" s="116"/>
      <c r="AB1139" s="87"/>
      <c r="AC1139" s="116"/>
      <c r="AD1139" s="116"/>
      <c r="AE1139" s="116"/>
      <c r="AF1139" s="116"/>
      <c r="AG1139" s="116"/>
      <c r="AH1139" s="116"/>
      <c r="AI1139" s="116"/>
    </row>
    <row r="1140" spans="27:35" ht="18">
      <c r="AA1140" s="116"/>
      <c r="AB1140" s="87"/>
      <c r="AC1140" s="116"/>
      <c r="AD1140" s="116"/>
      <c r="AE1140" s="116"/>
      <c r="AF1140" s="116"/>
      <c r="AG1140" s="116"/>
      <c r="AH1140" s="116"/>
      <c r="AI1140" s="116"/>
    </row>
    <row r="1141" spans="27:35" ht="18">
      <c r="AA1141" s="116"/>
      <c r="AB1141" s="87"/>
      <c r="AC1141" s="116"/>
      <c r="AD1141" s="116"/>
      <c r="AE1141" s="116"/>
      <c r="AF1141" s="116"/>
      <c r="AG1141" s="116"/>
      <c r="AH1141" s="116"/>
      <c r="AI1141" s="116"/>
    </row>
    <row r="1142" spans="27:35" ht="18">
      <c r="AA1142" s="116"/>
      <c r="AB1142" s="87"/>
      <c r="AC1142" s="116"/>
      <c r="AD1142" s="116"/>
      <c r="AE1142" s="116"/>
      <c r="AF1142" s="116"/>
      <c r="AG1142" s="116"/>
      <c r="AH1142" s="116"/>
      <c r="AI1142" s="116"/>
    </row>
    <row r="1143" spans="27:35" ht="18">
      <c r="AA1143" s="116"/>
      <c r="AB1143" s="87"/>
      <c r="AC1143" s="116"/>
      <c r="AD1143" s="116"/>
      <c r="AE1143" s="116"/>
      <c r="AF1143" s="116"/>
      <c r="AG1143" s="116"/>
      <c r="AH1143" s="116"/>
      <c r="AI1143" s="116"/>
    </row>
    <row r="1144" spans="27:35" ht="18">
      <c r="AA1144" s="116"/>
      <c r="AB1144" s="87"/>
      <c r="AC1144" s="116"/>
      <c r="AD1144" s="116"/>
      <c r="AE1144" s="116"/>
      <c r="AF1144" s="116"/>
      <c r="AG1144" s="116"/>
      <c r="AH1144" s="116"/>
      <c r="AI1144" s="116"/>
    </row>
    <row r="1145" spans="27:35" ht="18">
      <c r="AA1145" s="116"/>
      <c r="AB1145" s="87"/>
      <c r="AC1145" s="116"/>
      <c r="AD1145" s="116"/>
      <c r="AE1145" s="116"/>
      <c r="AF1145" s="116"/>
      <c r="AG1145" s="116"/>
      <c r="AH1145" s="116"/>
      <c r="AI1145" s="116"/>
    </row>
    <row r="1146" spans="27:35" ht="18">
      <c r="AA1146" s="116"/>
      <c r="AB1146" s="87"/>
      <c r="AC1146" s="116"/>
      <c r="AD1146" s="116"/>
      <c r="AE1146" s="116"/>
      <c r="AF1146" s="116"/>
      <c r="AG1146" s="116"/>
      <c r="AH1146" s="116"/>
      <c r="AI1146" s="116"/>
    </row>
    <row r="1147" spans="27:35" ht="18">
      <c r="AA1147" s="116"/>
      <c r="AB1147" s="87"/>
      <c r="AC1147" s="116"/>
      <c r="AD1147" s="116"/>
      <c r="AE1147" s="116"/>
      <c r="AF1147" s="116"/>
      <c r="AG1147" s="116"/>
      <c r="AH1147" s="116"/>
      <c r="AI1147" s="116"/>
    </row>
    <row r="1148" spans="27:35" ht="18">
      <c r="AA1148" s="116"/>
      <c r="AB1148" s="184"/>
      <c r="AC1148" s="116"/>
      <c r="AD1148" s="116"/>
      <c r="AE1148" s="116"/>
      <c r="AF1148" s="116"/>
      <c r="AG1148" s="116"/>
      <c r="AH1148" s="116"/>
      <c r="AI1148" s="116"/>
    </row>
    <row r="1149" spans="27:35" ht="18">
      <c r="AA1149" s="116"/>
      <c r="AB1149" s="87"/>
      <c r="AC1149" s="116"/>
      <c r="AD1149" s="116"/>
      <c r="AE1149" s="116"/>
      <c r="AF1149" s="116"/>
      <c r="AG1149" s="116"/>
      <c r="AH1149" s="116"/>
      <c r="AI1149" s="116"/>
    </row>
    <row r="1150" spans="27:35" ht="18">
      <c r="AA1150" s="116"/>
      <c r="AB1150" s="87"/>
      <c r="AC1150" s="116"/>
      <c r="AD1150" s="116"/>
      <c r="AE1150" s="116"/>
      <c r="AF1150" s="116"/>
      <c r="AG1150" s="116"/>
      <c r="AH1150" s="116"/>
      <c r="AI1150" s="116"/>
    </row>
    <row r="1151" spans="27:35" ht="18">
      <c r="AA1151" s="116"/>
      <c r="AB1151" s="87"/>
      <c r="AC1151" s="116"/>
      <c r="AD1151" s="116"/>
      <c r="AE1151" s="116"/>
      <c r="AF1151" s="116"/>
      <c r="AG1151" s="116"/>
      <c r="AH1151" s="116"/>
      <c r="AI1151" s="116"/>
    </row>
    <row r="1152" spans="27:35" ht="18">
      <c r="AA1152" s="116"/>
      <c r="AB1152" s="87"/>
      <c r="AC1152" s="116"/>
      <c r="AD1152" s="116"/>
      <c r="AE1152" s="116"/>
      <c r="AF1152" s="116"/>
      <c r="AG1152" s="116"/>
      <c r="AH1152" s="116"/>
      <c r="AI1152" s="116"/>
    </row>
    <row r="1153" spans="27:35" ht="18">
      <c r="AA1153" s="116"/>
      <c r="AB1153" s="87"/>
      <c r="AC1153" s="116"/>
      <c r="AD1153" s="116"/>
      <c r="AE1153" s="116"/>
      <c r="AF1153" s="116"/>
      <c r="AG1153" s="116"/>
      <c r="AH1153" s="116"/>
      <c r="AI1153" s="116"/>
    </row>
    <row r="1154" spans="27:35" ht="18">
      <c r="AA1154" s="116"/>
      <c r="AB1154" s="87"/>
      <c r="AC1154" s="116"/>
      <c r="AD1154" s="116"/>
      <c r="AE1154" s="116"/>
      <c r="AF1154" s="116"/>
      <c r="AG1154" s="116"/>
      <c r="AH1154" s="116"/>
      <c r="AI1154" s="116"/>
    </row>
    <row r="1155" spans="27:35" ht="18">
      <c r="AA1155" s="116"/>
      <c r="AB1155" s="87"/>
      <c r="AC1155" s="116"/>
      <c r="AD1155" s="116"/>
      <c r="AE1155" s="116"/>
      <c r="AF1155" s="116"/>
      <c r="AG1155" s="116"/>
      <c r="AH1155" s="116"/>
      <c r="AI1155" s="116"/>
    </row>
    <row r="1156" spans="27:35" ht="18">
      <c r="AA1156" s="116"/>
      <c r="AB1156" s="87"/>
      <c r="AC1156" s="116"/>
      <c r="AD1156" s="116"/>
      <c r="AE1156" s="116"/>
      <c r="AF1156" s="116"/>
      <c r="AG1156" s="116"/>
      <c r="AH1156" s="116"/>
      <c r="AI1156" s="116"/>
    </row>
    <row r="1157" spans="27:35" ht="18">
      <c r="AA1157" s="116"/>
      <c r="AB1157" s="87"/>
      <c r="AC1157" s="116"/>
      <c r="AD1157" s="116"/>
      <c r="AE1157" s="116"/>
      <c r="AF1157" s="116"/>
      <c r="AG1157" s="116"/>
      <c r="AH1157" s="116"/>
      <c r="AI1157" s="116"/>
    </row>
    <row r="1158" spans="27:35" ht="18">
      <c r="AA1158" s="116"/>
      <c r="AB1158" s="87"/>
      <c r="AC1158" s="116"/>
      <c r="AD1158" s="116"/>
      <c r="AE1158" s="116"/>
      <c r="AF1158" s="116"/>
      <c r="AG1158" s="116"/>
      <c r="AH1158" s="116"/>
      <c r="AI1158" s="116"/>
    </row>
    <row r="1159" spans="27:35" ht="18">
      <c r="AA1159" s="116"/>
      <c r="AB1159" s="87"/>
      <c r="AC1159" s="116"/>
      <c r="AD1159" s="116"/>
      <c r="AE1159" s="116"/>
      <c r="AF1159" s="116"/>
      <c r="AG1159" s="116"/>
      <c r="AH1159" s="116"/>
      <c r="AI1159" s="116"/>
    </row>
    <row r="1160" spans="27:35" ht="18">
      <c r="AA1160" s="116"/>
      <c r="AB1160" s="87"/>
      <c r="AC1160" s="116"/>
      <c r="AD1160" s="116"/>
      <c r="AE1160" s="116"/>
      <c r="AF1160" s="116"/>
      <c r="AG1160" s="116"/>
      <c r="AH1160" s="116"/>
      <c r="AI1160" s="116"/>
    </row>
    <row r="1161" spans="27:35" ht="18">
      <c r="AA1161" s="116"/>
      <c r="AB1161" s="87"/>
      <c r="AC1161" s="116"/>
      <c r="AD1161" s="116"/>
      <c r="AE1161" s="116"/>
      <c r="AF1161" s="116"/>
      <c r="AG1161" s="116"/>
      <c r="AH1161" s="116"/>
      <c r="AI1161" s="116"/>
    </row>
    <row r="1162" spans="27:35" ht="18">
      <c r="AA1162" s="116"/>
      <c r="AB1162" s="87"/>
      <c r="AC1162" s="116"/>
      <c r="AD1162" s="116"/>
      <c r="AE1162" s="116"/>
      <c r="AF1162" s="116"/>
      <c r="AG1162" s="116"/>
      <c r="AH1162" s="116"/>
      <c r="AI1162" s="116"/>
    </row>
    <row r="1163" spans="27:35" ht="18">
      <c r="AA1163" s="116"/>
      <c r="AB1163" s="87"/>
      <c r="AC1163" s="116"/>
      <c r="AD1163" s="116"/>
      <c r="AE1163" s="116"/>
      <c r="AF1163" s="116"/>
      <c r="AG1163" s="116"/>
      <c r="AH1163" s="116"/>
      <c r="AI1163" s="116"/>
    </row>
    <row r="1164" spans="27:35" ht="18">
      <c r="AA1164" s="116"/>
      <c r="AB1164" s="87"/>
      <c r="AC1164" s="116"/>
      <c r="AD1164" s="116"/>
      <c r="AE1164" s="116"/>
      <c r="AF1164" s="116"/>
      <c r="AG1164" s="116"/>
      <c r="AH1164" s="116"/>
      <c r="AI1164" s="116"/>
    </row>
    <row r="1165" spans="27:35" ht="18">
      <c r="AA1165" s="116"/>
      <c r="AB1165" s="87"/>
      <c r="AC1165" s="116"/>
      <c r="AD1165" s="116"/>
      <c r="AE1165" s="116"/>
      <c r="AF1165" s="116"/>
      <c r="AG1165" s="116"/>
      <c r="AH1165" s="116"/>
      <c r="AI1165" s="116"/>
    </row>
    <row r="1166" spans="27:35" ht="18">
      <c r="AA1166" s="116"/>
      <c r="AB1166" s="87"/>
      <c r="AC1166" s="116"/>
      <c r="AD1166" s="116"/>
      <c r="AE1166" s="117"/>
      <c r="AF1166" s="116"/>
      <c r="AG1166" s="116"/>
      <c r="AH1166" s="116"/>
      <c r="AI1166" s="116"/>
    </row>
    <row r="1167" spans="27:35" ht="18">
      <c r="AA1167" s="116"/>
      <c r="AB1167" s="87"/>
      <c r="AC1167" s="116"/>
      <c r="AD1167" s="116"/>
      <c r="AE1167" s="117"/>
      <c r="AF1167" s="116"/>
      <c r="AG1167" s="116"/>
      <c r="AH1167" s="116"/>
      <c r="AI1167" s="116"/>
    </row>
    <row r="1168" spans="27:35" ht="18">
      <c r="AA1168" s="116"/>
      <c r="AB1168" s="87"/>
      <c r="AC1168" s="116"/>
      <c r="AD1168" s="116"/>
      <c r="AE1168" s="117"/>
      <c r="AF1168" s="116"/>
      <c r="AG1168" s="116"/>
      <c r="AH1168" s="116"/>
      <c r="AI1168" s="116"/>
    </row>
    <row r="1169" spans="27:35" ht="18">
      <c r="AA1169" s="116"/>
      <c r="AB1169" s="87"/>
      <c r="AC1169" s="116"/>
      <c r="AD1169" s="116"/>
      <c r="AE1169" s="117"/>
      <c r="AF1169" s="116"/>
      <c r="AG1169" s="116"/>
      <c r="AH1169" s="116"/>
      <c r="AI1169" s="116"/>
    </row>
    <row r="1170" spans="27:35" ht="18">
      <c r="AA1170" s="116"/>
      <c r="AB1170" s="87"/>
      <c r="AC1170" s="116"/>
      <c r="AD1170" s="116"/>
      <c r="AE1170" s="117"/>
      <c r="AF1170" s="116"/>
      <c r="AG1170" s="116"/>
      <c r="AH1170" s="116"/>
      <c r="AI1170" s="116"/>
    </row>
    <row r="1171" spans="27:35" ht="18">
      <c r="AA1171" s="116"/>
      <c r="AB1171" s="87"/>
      <c r="AC1171" s="116"/>
      <c r="AD1171" s="116"/>
      <c r="AE1171" s="117"/>
      <c r="AF1171" s="116"/>
      <c r="AG1171" s="116"/>
      <c r="AH1171" s="116"/>
      <c r="AI1171" s="116"/>
    </row>
    <row r="1172" spans="27:35" ht="18">
      <c r="AA1172" s="116"/>
      <c r="AB1172" s="87"/>
      <c r="AC1172" s="116"/>
      <c r="AD1172" s="116"/>
      <c r="AE1172" s="117"/>
      <c r="AF1172" s="116"/>
      <c r="AG1172" s="116"/>
      <c r="AH1172" s="116"/>
      <c r="AI1172" s="116"/>
    </row>
    <row r="1173" spans="27:35" ht="18">
      <c r="AA1173" s="116"/>
      <c r="AB1173" s="87"/>
      <c r="AC1173" s="116"/>
      <c r="AD1173" s="116"/>
      <c r="AE1173" s="117"/>
      <c r="AF1173" s="116"/>
      <c r="AG1173" s="116"/>
      <c r="AH1173" s="116"/>
      <c r="AI1173" s="116"/>
    </row>
    <row r="1174" spans="27:35" ht="18">
      <c r="AA1174" s="116"/>
      <c r="AB1174" s="87"/>
      <c r="AC1174" s="116"/>
      <c r="AD1174" s="116"/>
      <c r="AE1174" s="117"/>
      <c r="AF1174" s="116"/>
      <c r="AG1174" s="116"/>
      <c r="AH1174" s="116"/>
      <c r="AI1174" s="116"/>
    </row>
    <row r="1175" spans="27:35" ht="18">
      <c r="AA1175" s="116"/>
      <c r="AB1175" s="87"/>
      <c r="AC1175" s="116"/>
      <c r="AD1175" s="116"/>
      <c r="AE1175" s="117"/>
      <c r="AF1175" s="116"/>
      <c r="AG1175" s="116"/>
      <c r="AH1175" s="116"/>
      <c r="AI1175" s="116"/>
    </row>
    <row r="1176" spans="27:35" ht="18">
      <c r="AA1176" s="116"/>
      <c r="AB1176" s="184"/>
      <c r="AC1176" s="116"/>
      <c r="AD1176" s="116"/>
      <c r="AE1176" s="116"/>
      <c r="AF1176" s="116"/>
      <c r="AG1176" s="116"/>
      <c r="AH1176" s="116"/>
      <c r="AI1176" s="116"/>
    </row>
    <row r="1177" spans="27:35" ht="18">
      <c r="AA1177" s="116"/>
      <c r="AB1177" s="184"/>
      <c r="AC1177" s="116"/>
      <c r="AD1177" s="116"/>
      <c r="AE1177" s="116"/>
      <c r="AF1177" s="116"/>
      <c r="AG1177" s="116"/>
      <c r="AH1177" s="116"/>
      <c r="AI1177" s="116"/>
    </row>
    <row r="1178" spans="27:35" ht="18">
      <c r="AA1178" s="116"/>
      <c r="AB1178" s="87"/>
      <c r="AC1178" s="116"/>
      <c r="AD1178" s="116"/>
      <c r="AE1178" s="116"/>
      <c r="AF1178" s="116"/>
      <c r="AG1178" s="116"/>
      <c r="AH1178" s="116"/>
      <c r="AI1178" s="116"/>
    </row>
    <row r="1179" spans="27:35" ht="18">
      <c r="AA1179" s="116"/>
      <c r="AB1179" s="87"/>
      <c r="AC1179" s="116"/>
      <c r="AD1179" s="116"/>
      <c r="AE1179" s="116"/>
      <c r="AF1179" s="116"/>
      <c r="AG1179" s="116"/>
      <c r="AH1179" s="116"/>
      <c r="AI1179" s="116"/>
    </row>
    <row r="1180" spans="27:35" ht="18">
      <c r="AA1180" s="116"/>
      <c r="AB1180" s="87"/>
      <c r="AC1180" s="116"/>
      <c r="AD1180" s="116"/>
      <c r="AE1180" s="116"/>
      <c r="AF1180" s="116"/>
      <c r="AG1180" s="116"/>
      <c r="AH1180" s="116"/>
      <c r="AI1180" s="116"/>
    </row>
    <row r="1181" spans="27:35" ht="18">
      <c r="AA1181" s="116"/>
      <c r="AB1181" s="87"/>
      <c r="AC1181" s="116"/>
      <c r="AD1181" s="116"/>
      <c r="AE1181" s="116"/>
      <c r="AF1181" s="116"/>
      <c r="AG1181" s="116"/>
      <c r="AH1181" s="116"/>
      <c r="AI1181" s="116"/>
    </row>
    <row r="1182" spans="27:35" ht="18">
      <c r="AA1182" s="116"/>
      <c r="AB1182" s="87"/>
      <c r="AC1182" s="116"/>
      <c r="AD1182" s="116"/>
      <c r="AE1182" s="116"/>
      <c r="AF1182" s="116"/>
      <c r="AG1182" s="116"/>
      <c r="AH1182" s="116"/>
      <c r="AI1182" s="116"/>
    </row>
    <row r="1183" spans="27:35" ht="18">
      <c r="AA1183" s="116"/>
      <c r="AB1183" s="184"/>
      <c r="AC1183" s="116"/>
      <c r="AD1183" s="116"/>
      <c r="AE1183" s="116"/>
      <c r="AF1183" s="116"/>
      <c r="AG1183" s="116"/>
      <c r="AH1183" s="116"/>
      <c r="AI1183" s="116"/>
    </row>
    <row r="1184" spans="27:35" ht="18">
      <c r="AA1184" s="116"/>
      <c r="AB1184" s="184"/>
      <c r="AC1184" s="116"/>
      <c r="AD1184" s="116"/>
      <c r="AE1184" s="116"/>
      <c r="AF1184" s="116"/>
      <c r="AG1184" s="116"/>
      <c r="AH1184" s="116"/>
      <c r="AI1184" s="116"/>
    </row>
    <row r="1185" spans="27:35" ht="18">
      <c r="AA1185" s="116"/>
      <c r="AB1185" s="87"/>
      <c r="AC1185" s="116"/>
      <c r="AD1185" s="116"/>
      <c r="AE1185" s="116"/>
      <c r="AF1185" s="116"/>
      <c r="AG1185" s="116"/>
      <c r="AH1185" s="116"/>
      <c r="AI1185" s="116"/>
    </row>
    <row r="1186" spans="27:35" ht="18">
      <c r="AA1186" s="116"/>
      <c r="AB1186" s="87"/>
      <c r="AC1186" s="116"/>
      <c r="AD1186" s="116"/>
      <c r="AE1186" s="116"/>
      <c r="AF1186" s="116"/>
      <c r="AG1186" s="116"/>
      <c r="AH1186" s="116"/>
      <c r="AI1186" s="116"/>
    </row>
    <row r="1187" spans="27:35" ht="18">
      <c r="AA1187" s="116"/>
      <c r="AB1187" s="87"/>
      <c r="AC1187" s="116"/>
      <c r="AD1187" s="116"/>
      <c r="AE1187" s="116"/>
      <c r="AF1187" s="116"/>
      <c r="AG1187" s="116"/>
      <c r="AH1187" s="116"/>
      <c r="AI1187" s="116"/>
    </row>
    <row r="1188" spans="27:35" ht="18">
      <c r="AA1188" s="116"/>
      <c r="AB1188" s="87"/>
      <c r="AC1188" s="116"/>
      <c r="AD1188" s="116"/>
      <c r="AE1188" s="116"/>
      <c r="AF1188" s="116"/>
      <c r="AG1188" s="116"/>
      <c r="AH1188" s="116"/>
      <c r="AI1188" s="116"/>
    </row>
    <row r="1189" spans="27:35" ht="18">
      <c r="AA1189" s="116"/>
      <c r="AB1189" s="87"/>
      <c r="AC1189" s="116"/>
      <c r="AD1189" s="116"/>
      <c r="AE1189" s="116"/>
      <c r="AF1189" s="116"/>
      <c r="AG1189" s="116"/>
      <c r="AH1189" s="116"/>
      <c r="AI1189" s="116"/>
    </row>
    <row r="1190" spans="27:35" ht="18">
      <c r="AA1190" s="116"/>
      <c r="AB1190" s="87"/>
      <c r="AC1190" s="116"/>
      <c r="AD1190" s="116"/>
      <c r="AE1190" s="116"/>
      <c r="AF1190" s="116"/>
      <c r="AG1190" s="116"/>
      <c r="AH1190" s="116"/>
      <c r="AI1190" s="116"/>
    </row>
    <row r="1191" spans="27:35" ht="18">
      <c r="AA1191" s="116"/>
      <c r="AB1191" s="87"/>
      <c r="AC1191" s="116"/>
      <c r="AD1191" s="116"/>
      <c r="AE1191" s="116"/>
      <c r="AF1191" s="116"/>
      <c r="AG1191" s="116"/>
      <c r="AH1191" s="116"/>
      <c r="AI1191" s="116"/>
    </row>
    <row r="1192" spans="27:35" ht="18">
      <c r="AA1192" s="116"/>
      <c r="AB1192" s="184"/>
      <c r="AC1192" s="116"/>
      <c r="AD1192" s="116"/>
      <c r="AE1192" s="116"/>
      <c r="AF1192" s="116"/>
      <c r="AG1192" s="116"/>
      <c r="AH1192" s="116"/>
      <c r="AI1192" s="116"/>
    </row>
    <row r="1193" spans="27:35" ht="18">
      <c r="AA1193" s="116"/>
      <c r="AB1193" s="184"/>
      <c r="AC1193" s="116"/>
      <c r="AD1193" s="116"/>
      <c r="AE1193" s="116"/>
      <c r="AF1193" s="116"/>
      <c r="AG1193" s="116"/>
      <c r="AH1193" s="116"/>
      <c r="AI1193" s="116"/>
    </row>
    <row r="1194" spans="27:35" ht="18">
      <c r="AA1194" s="116"/>
      <c r="AB1194" s="87"/>
      <c r="AC1194" s="116"/>
      <c r="AD1194" s="116"/>
      <c r="AE1194" s="116"/>
      <c r="AF1194" s="116"/>
      <c r="AG1194" s="116"/>
      <c r="AH1194" s="116"/>
      <c r="AI1194" s="116"/>
    </row>
    <row r="1195" spans="27:35" ht="18">
      <c r="AA1195" s="116"/>
      <c r="AB1195" s="87"/>
      <c r="AC1195" s="116"/>
      <c r="AD1195" s="116"/>
      <c r="AE1195" s="116"/>
      <c r="AF1195" s="116"/>
      <c r="AG1195" s="116"/>
      <c r="AH1195" s="116"/>
      <c r="AI1195" s="116"/>
    </row>
    <row r="1196" spans="27:35" ht="18">
      <c r="AA1196" s="116"/>
      <c r="AB1196" s="87"/>
      <c r="AC1196" s="116"/>
      <c r="AD1196" s="116"/>
      <c r="AE1196" s="116"/>
      <c r="AF1196" s="116"/>
      <c r="AG1196" s="116"/>
      <c r="AH1196" s="116"/>
      <c r="AI1196" s="116"/>
    </row>
    <row r="1197" spans="27:35" ht="18">
      <c r="AA1197" s="116"/>
      <c r="AB1197" s="87"/>
      <c r="AC1197" s="116"/>
      <c r="AD1197" s="116"/>
      <c r="AE1197" s="116"/>
      <c r="AF1197" s="116"/>
      <c r="AG1197" s="116"/>
      <c r="AH1197" s="116"/>
      <c r="AI1197" s="116"/>
    </row>
    <row r="1198" spans="27:35" ht="18">
      <c r="AA1198" s="116"/>
      <c r="AB1198" s="87"/>
      <c r="AC1198" s="116"/>
      <c r="AD1198" s="116"/>
      <c r="AE1198" s="116"/>
      <c r="AF1198" s="116"/>
      <c r="AG1198" s="116"/>
      <c r="AH1198" s="116"/>
      <c r="AI1198" s="116"/>
    </row>
    <row r="1199" spans="27:35" ht="18">
      <c r="AA1199" s="116"/>
      <c r="AB1199" s="87"/>
      <c r="AC1199" s="116"/>
      <c r="AD1199" s="116"/>
      <c r="AE1199" s="116"/>
      <c r="AF1199" s="116"/>
      <c r="AG1199" s="116"/>
      <c r="AH1199" s="116"/>
      <c r="AI1199" s="116"/>
    </row>
    <row r="1200" spans="27:35" ht="18">
      <c r="AA1200" s="116"/>
      <c r="AB1200" s="87"/>
      <c r="AC1200" s="116"/>
      <c r="AD1200" s="116"/>
      <c r="AE1200" s="116"/>
      <c r="AF1200" s="116"/>
      <c r="AG1200" s="116"/>
      <c r="AH1200" s="116"/>
      <c r="AI1200" s="116"/>
    </row>
    <row r="1201" spans="27:35" ht="18">
      <c r="AA1201" s="116"/>
      <c r="AB1201" s="184"/>
      <c r="AC1201" s="116"/>
      <c r="AD1201" s="116"/>
      <c r="AE1201" s="116"/>
      <c r="AF1201" s="116"/>
      <c r="AG1201" s="116"/>
      <c r="AH1201" s="116"/>
      <c r="AI1201" s="116"/>
    </row>
    <row r="1202" spans="27:35" ht="18">
      <c r="AA1202" s="116"/>
      <c r="AB1202" s="184"/>
      <c r="AC1202" s="116"/>
      <c r="AD1202" s="116"/>
      <c r="AE1202" s="116"/>
      <c r="AF1202" s="116"/>
      <c r="AG1202" s="116"/>
      <c r="AH1202" s="116"/>
      <c r="AI1202" s="116"/>
    </row>
    <row r="1203" spans="27:35" ht="18">
      <c r="AA1203" s="116"/>
      <c r="AB1203" s="87"/>
      <c r="AC1203" s="116"/>
      <c r="AD1203" s="116"/>
      <c r="AE1203" s="116"/>
      <c r="AF1203" s="116"/>
      <c r="AG1203" s="116"/>
      <c r="AH1203" s="116"/>
      <c r="AI1203" s="116"/>
    </row>
    <row r="1204" spans="27:35" ht="18">
      <c r="AA1204" s="116"/>
      <c r="AB1204" s="87"/>
      <c r="AC1204" s="116"/>
      <c r="AD1204" s="116"/>
      <c r="AE1204" s="116"/>
      <c r="AF1204" s="116"/>
      <c r="AG1204" s="116"/>
      <c r="AH1204" s="116"/>
      <c r="AI1204" s="116"/>
    </row>
    <row r="1205" spans="27:35" ht="18">
      <c r="AA1205" s="116"/>
      <c r="AB1205" s="87"/>
      <c r="AC1205" s="116"/>
      <c r="AD1205" s="116"/>
      <c r="AE1205" s="116"/>
      <c r="AF1205" s="116"/>
      <c r="AG1205" s="116"/>
      <c r="AH1205" s="116"/>
      <c r="AI1205" s="116"/>
    </row>
    <row r="1206" spans="27:35" ht="18">
      <c r="AA1206" s="116"/>
      <c r="AB1206" s="87"/>
      <c r="AC1206" s="116"/>
      <c r="AD1206" s="116"/>
      <c r="AE1206" s="116"/>
      <c r="AF1206" s="116"/>
      <c r="AG1206" s="116"/>
      <c r="AH1206" s="116"/>
      <c r="AI1206" s="116"/>
    </row>
    <row r="1207" spans="27:35" ht="18">
      <c r="AA1207" s="116"/>
      <c r="AB1207" s="87"/>
      <c r="AC1207" s="116"/>
      <c r="AD1207" s="116"/>
      <c r="AE1207" s="116"/>
      <c r="AF1207" s="116"/>
      <c r="AG1207" s="116"/>
      <c r="AH1207" s="116"/>
      <c r="AI1207" s="116"/>
    </row>
    <row r="1208" spans="27:35" ht="18">
      <c r="AA1208" s="116"/>
      <c r="AB1208" s="87"/>
      <c r="AC1208" s="116"/>
      <c r="AD1208" s="116"/>
      <c r="AE1208" s="116"/>
      <c r="AF1208" s="116"/>
      <c r="AG1208" s="116"/>
      <c r="AH1208" s="116"/>
      <c r="AI1208" s="116"/>
    </row>
    <row r="1209" spans="27:35" ht="18">
      <c r="AA1209" s="116"/>
      <c r="AB1209" s="87"/>
      <c r="AC1209" s="116"/>
      <c r="AD1209" s="116"/>
      <c r="AE1209" s="116"/>
      <c r="AF1209" s="116"/>
      <c r="AG1209" s="116"/>
      <c r="AH1209" s="116"/>
      <c r="AI1209" s="116"/>
    </row>
    <row r="1210" spans="27:35" ht="18">
      <c r="AA1210" s="116"/>
      <c r="AB1210" s="87"/>
      <c r="AC1210" s="116"/>
      <c r="AD1210" s="116"/>
      <c r="AE1210" s="116"/>
      <c r="AF1210" s="116"/>
      <c r="AG1210" s="116"/>
      <c r="AH1210" s="116"/>
      <c r="AI1210" s="116"/>
    </row>
    <row r="1211" spans="27:35" ht="18">
      <c r="AA1211" s="116"/>
      <c r="AB1211" s="87"/>
      <c r="AC1211" s="116"/>
      <c r="AD1211" s="116"/>
      <c r="AE1211" s="116"/>
      <c r="AF1211" s="116"/>
      <c r="AG1211" s="116"/>
      <c r="AH1211" s="116"/>
      <c r="AI1211" s="116"/>
    </row>
    <row r="1212" spans="27:35" ht="18">
      <c r="AA1212" s="116"/>
      <c r="AB1212" s="87"/>
      <c r="AC1212" s="116"/>
      <c r="AD1212" s="116"/>
      <c r="AE1212" s="116"/>
      <c r="AF1212" s="116"/>
      <c r="AG1212" s="116"/>
      <c r="AH1212" s="116"/>
      <c r="AI1212" s="116"/>
    </row>
    <row r="1213" spans="27:35" ht="18">
      <c r="AA1213" s="116"/>
      <c r="AB1213" s="87"/>
      <c r="AC1213" s="116"/>
      <c r="AD1213" s="116"/>
      <c r="AE1213" s="116"/>
      <c r="AF1213" s="116"/>
      <c r="AG1213" s="116"/>
      <c r="AH1213" s="116"/>
      <c r="AI1213" s="116"/>
    </row>
    <row r="1214" spans="27:35" ht="18">
      <c r="AA1214" s="116"/>
      <c r="AB1214" s="87"/>
      <c r="AC1214" s="116"/>
      <c r="AD1214" s="116"/>
      <c r="AE1214" s="116"/>
      <c r="AF1214" s="116"/>
      <c r="AG1214" s="116"/>
      <c r="AH1214" s="116"/>
      <c r="AI1214" s="116"/>
    </row>
    <row r="1215" spans="27:35" ht="18">
      <c r="AA1215" s="116"/>
      <c r="AB1215" s="184"/>
      <c r="AC1215" s="116"/>
      <c r="AD1215" s="116"/>
      <c r="AE1215" s="116"/>
      <c r="AF1215" s="116"/>
      <c r="AG1215" s="116"/>
      <c r="AH1215" s="116"/>
      <c r="AI1215" s="116"/>
    </row>
    <row r="1216" spans="27:35" ht="18">
      <c r="AA1216" s="116"/>
      <c r="AB1216" s="184"/>
      <c r="AC1216" s="116"/>
      <c r="AD1216" s="116"/>
      <c r="AE1216" s="116"/>
      <c r="AF1216" s="116"/>
      <c r="AG1216" s="116"/>
      <c r="AH1216" s="116"/>
      <c r="AI1216" s="116"/>
    </row>
    <row r="1217" spans="27:35" ht="18">
      <c r="AA1217" s="116"/>
      <c r="AB1217" s="87"/>
      <c r="AC1217" s="116"/>
      <c r="AD1217" s="116"/>
      <c r="AE1217" s="116"/>
      <c r="AF1217" s="116"/>
      <c r="AG1217" s="116"/>
      <c r="AH1217" s="116"/>
      <c r="AI1217" s="116"/>
    </row>
    <row r="1218" spans="27:35" ht="18">
      <c r="AA1218" s="116"/>
      <c r="AB1218" s="87"/>
      <c r="AC1218" s="116"/>
      <c r="AD1218" s="116"/>
      <c r="AE1218" s="116"/>
      <c r="AF1218" s="116"/>
      <c r="AG1218" s="116"/>
      <c r="AH1218" s="116"/>
      <c r="AI1218" s="116"/>
    </row>
    <row r="1219" spans="27:35" ht="18">
      <c r="AA1219" s="116"/>
      <c r="AB1219" s="87"/>
      <c r="AC1219" s="116"/>
      <c r="AD1219" s="116"/>
      <c r="AE1219" s="116"/>
      <c r="AF1219" s="116"/>
      <c r="AG1219" s="116"/>
      <c r="AH1219" s="116"/>
      <c r="AI1219" s="116"/>
    </row>
    <row r="1220" spans="27:35" ht="18">
      <c r="AA1220" s="116"/>
      <c r="AB1220" s="87"/>
      <c r="AC1220" s="116"/>
      <c r="AD1220" s="116"/>
      <c r="AE1220" s="116"/>
      <c r="AF1220" s="116"/>
      <c r="AG1220" s="116"/>
      <c r="AH1220" s="116"/>
      <c r="AI1220" s="116"/>
    </row>
    <row r="1221" spans="27:35" ht="18">
      <c r="AA1221" s="116"/>
      <c r="AB1221" s="87"/>
      <c r="AC1221" s="116"/>
      <c r="AD1221" s="116"/>
      <c r="AE1221" s="116"/>
      <c r="AF1221" s="116"/>
      <c r="AG1221" s="116"/>
      <c r="AH1221" s="116"/>
      <c r="AI1221" s="116"/>
    </row>
    <row r="1222" spans="27:35" ht="18">
      <c r="AA1222" s="116"/>
      <c r="AB1222" s="87"/>
      <c r="AC1222" s="116"/>
      <c r="AD1222" s="116"/>
      <c r="AE1222" s="116"/>
      <c r="AF1222" s="116"/>
      <c r="AG1222" s="116"/>
      <c r="AH1222" s="116"/>
      <c r="AI1222" s="116"/>
    </row>
    <row r="1223" spans="27:35" ht="18">
      <c r="AA1223" s="116"/>
      <c r="AB1223" s="87"/>
      <c r="AC1223" s="116"/>
      <c r="AD1223" s="116"/>
      <c r="AE1223" s="116"/>
      <c r="AF1223" s="116"/>
      <c r="AG1223" s="116"/>
      <c r="AH1223" s="116"/>
      <c r="AI1223" s="116"/>
    </row>
    <row r="1224" spans="27:35" ht="18">
      <c r="AA1224" s="116"/>
      <c r="AB1224" s="87"/>
      <c r="AC1224" s="116"/>
      <c r="AD1224" s="116"/>
      <c r="AE1224" s="116"/>
      <c r="AF1224" s="116"/>
      <c r="AG1224" s="116"/>
      <c r="AH1224" s="116"/>
      <c r="AI1224" s="116"/>
    </row>
    <row r="1225" spans="27:35" ht="18">
      <c r="AA1225" s="116"/>
      <c r="AB1225" s="87"/>
      <c r="AC1225" s="116"/>
      <c r="AD1225" s="116"/>
      <c r="AE1225" s="116"/>
      <c r="AF1225" s="116"/>
      <c r="AG1225" s="116"/>
      <c r="AH1225" s="116"/>
      <c r="AI1225" s="116"/>
    </row>
    <row r="1226" spans="27:35" ht="18">
      <c r="AA1226" s="116"/>
      <c r="AB1226" s="87"/>
      <c r="AC1226" s="116"/>
      <c r="AD1226" s="116"/>
      <c r="AE1226" s="116"/>
      <c r="AF1226" s="116"/>
      <c r="AG1226" s="116"/>
      <c r="AH1226" s="116"/>
      <c r="AI1226" s="116"/>
    </row>
    <row r="1227" spans="27:35" ht="18">
      <c r="AA1227" s="116"/>
      <c r="AB1227" s="87"/>
      <c r="AC1227" s="116"/>
      <c r="AD1227" s="116"/>
      <c r="AE1227" s="116"/>
      <c r="AF1227" s="116"/>
      <c r="AG1227" s="116"/>
      <c r="AH1227" s="116"/>
      <c r="AI1227" s="116"/>
    </row>
    <row r="1228" spans="27:35" ht="18">
      <c r="AA1228" s="116"/>
      <c r="AB1228" s="87"/>
      <c r="AC1228" s="116"/>
      <c r="AD1228" s="116"/>
      <c r="AE1228" s="116"/>
      <c r="AF1228" s="116"/>
      <c r="AG1228" s="116"/>
      <c r="AH1228" s="116"/>
      <c r="AI1228" s="116"/>
    </row>
    <row r="1229" spans="27:35" ht="18">
      <c r="AA1229" s="116"/>
      <c r="AB1229" s="87"/>
      <c r="AC1229" s="116"/>
      <c r="AD1229" s="116"/>
      <c r="AE1229" s="116"/>
      <c r="AF1229" s="116"/>
      <c r="AG1229" s="116"/>
      <c r="AH1229" s="116"/>
      <c r="AI1229" s="116"/>
    </row>
    <row r="1230" spans="27:35" ht="18">
      <c r="AA1230" s="116"/>
      <c r="AB1230" s="87"/>
      <c r="AC1230" s="116"/>
      <c r="AD1230" s="116"/>
      <c r="AE1230" s="116"/>
      <c r="AF1230" s="116"/>
      <c r="AG1230" s="116"/>
      <c r="AH1230" s="116"/>
      <c r="AI1230" s="116"/>
    </row>
    <row r="1231" spans="27:35" ht="18">
      <c r="AA1231" s="116"/>
      <c r="AB1231" s="87"/>
      <c r="AC1231" s="116"/>
      <c r="AD1231" s="116"/>
      <c r="AE1231" s="116"/>
      <c r="AF1231" s="116"/>
      <c r="AG1231" s="116"/>
      <c r="AH1231" s="116"/>
      <c r="AI1231" s="116"/>
    </row>
    <row r="1232" spans="27:35" ht="18">
      <c r="AA1232" s="116"/>
      <c r="AB1232" s="87"/>
      <c r="AC1232" s="116"/>
      <c r="AD1232" s="116"/>
      <c r="AE1232" s="116"/>
      <c r="AF1232" s="116"/>
      <c r="AG1232" s="116"/>
      <c r="AH1232" s="116"/>
      <c r="AI1232" s="116"/>
    </row>
    <row r="1233" spans="27:35" ht="18">
      <c r="AA1233" s="116"/>
      <c r="AB1233" s="87"/>
      <c r="AC1233" s="116"/>
      <c r="AD1233" s="116"/>
      <c r="AE1233" s="116"/>
      <c r="AF1233" s="116"/>
      <c r="AG1233" s="116"/>
      <c r="AH1233" s="116"/>
      <c r="AI1233" s="116"/>
    </row>
    <row r="1234" spans="27:35" ht="18">
      <c r="AA1234" s="116"/>
      <c r="AB1234" s="87"/>
      <c r="AC1234" s="116"/>
      <c r="AD1234" s="116"/>
      <c r="AE1234" s="116"/>
      <c r="AF1234" s="116"/>
      <c r="AG1234" s="116"/>
      <c r="AH1234" s="116"/>
      <c r="AI1234" s="116"/>
    </row>
    <row r="1235" spans="27:35" ht="18">
      <c r="AA1235" s="116"/>
      <c r="AB1235" s="87"/>
      <c r="AC1235" s="116"/>
      <c r="AD1235" s="116"/>
      <c r="AE1235" s="116"/>
      <c r="AF1235" s="116"/>
      <c r="AG1235" s="116"/>
      <c r="AH1235" s="116"/>
      <c r="AI1235" s="116"/>
    </row>
    <row r="1236" spans="27:35" ht="18">
      <c r="AA1236" s="116"/>
      <c r="AB1236" s="87"/>
      <c r="AC1236" s="116"/>
      <c r="AD1236" s="116"/>
      <c r="AE1236" s="116"/>
      <c r="AF1236" s="116"/>
      <c r="AG1236" s="116"/>
      <c r="AH1236" s="116"/>
      <c r="AI1236" s="116"/>
    </row>
    <row r="1237" spans="27:35" ht="18">
      <c r="AA1237" s="116"/>
      <c r="AB1237" s="87"/>
      <c r="AC1237" s="116"/>
      <c r="AD1237" s="116"/>
      <c r="AE1237" s="116"/>
      <c r="AF1237" s="116"/>
      <c r="AG1237" s="116"/>
      <c r="AH1237" s="116"/>
      <c r="AI1237" s="116"/>
    </row>
    <row r="1238" spans="27:35" ht="18">
      <c r="AA1238" s="116"/>
      <c r="AB1238" s="87"/>
      <c r="AC1238" s="116"/>
      <c r="AD1238" s="116"/>
      <c r="AE1238" s="116"/>
      <c r="AF1238" s="116"/>
      <c r="AG1238" s="116"/>
      <c r="AH1238" s="116"/>
      <c r="AI1238" s="116"/>
    </row>
    <row r="1239" spans="27:35" ht="18">
      <c r="AA1239" s="116"/>
      <c r="AB1239" s="87"/>
      <c r="AC1239" s="116"/>
      <c r="AD1239" s="116"/>
      <c r="AE1239" s="116"/>
      <c r="AF1239" s="116"/>
      <c r="AG1239" s="116"/>
      <c r="AH1239" s="116"/>
      <c r="AI1239" s="116"/>
    </row>
    <row r="1240" spans="27:35" ht="18">
      <c r="AA1240" s="116"/>
      <c r="AB1240" s="87"/>
      <c r="AC1240" s="116"/>
      <c r="AD1240" s="116"/>
      <c r="AE1240" s="116"/>
      <c r="AF1240" s="116"/>
      <c r="AG1240" s="116"/>
      <c r="AH1240" s="116"/>
      <c r="AI1240" s="116"/>
    </row>
    <row r="1241" spans="27:35" ht="18">
      <c r="AA1241" s="116"/>
      <c r="AB1241" s="87"/>
      <c r="AC1241" s="116"/>
      <c r="AD1241" s="116"/>
      <c r="AE1241" s="116"/>
      <c r="AF1241" s="116"/>
      <c r="AG1241" s="116"/>
      <c r="AH1241" s="116"/>
      <c r="AI1241" s="116"/>
    </row>
    <row r="1242" spans="27:35" ht="18">
      <c r="AA1242" s="116"/>
      <c r="AB1242" s="87"/>
      <c r="AC1242" s="116"/>
      <c r="AD1242" s="116"/>
      <c r="AE1242" s="116"/>
      <c r="AF1242" s="116"/>
      <c r="AG1242" s="116"/>
      <c r="AH1242" s="116"/>
      <c r="AI1242" s="116"/>
    </row>
    <row r="1243" spans="27:35" ht="18">
      <c r="AA1243" s="116"/>
      <c r="AB1243" s="87"/>
      <c r="AC1243" s="116"/>
      <c r="AD1243" s="116"/>
      <c r="AE1243" s="116"/>
      <c r="AF1243" s="116"/>
      <c r="AG1243" s="116"/>
      <c r="AH1243" s="116"/>
      <c r="AI1243" s="116"/>
    </row>
    <row r="1244" spans="27:35" ht="18">
      <c r="AA1244" s="116"/>
      <c r="AB1244" s="87"/>
      <c r="AC1244" s="116"/>
      <c r="AD1244" s="116"/>
      <c r="AE1244" s="116"/>
      <c r="AF1244" s="116"/>
      <c r="AG1244" s="116"/>
      <c r="AH1244" s="116"/>
      <c r="AI1244" s="116"/>
    </row>
    <row r="1245" spans="27:35" ht="18">
      <c r="AA1245" s="116"/>
      <c r="AB1245" s="87"/>
      <c r="AC1245" s="116"/>
      <c r="AD1245" s="116"/>
      <c r="AE1245" s="116"/>
      <c r="AF1245" s="116"/>
      <c r="AG1245" s="116"/>
      <c r="AH1245" s="116"/>
      <c r="AI1245" s="116"/>
    </row>
    <row r="1246" spans="27:35" ht="18">
      <c r="AA1246" s="116"/>
      <c r="AB1246" s="87"/>
      <c r="AC1246" s="116"/>
      <c r="AD1246" s="116"/>
      <c r="AE1246" s="116"/>
      <c r="AF1246" s="116"/>
      <c r="AG1246" s="116"/>
      <c r="AH1246" s="116"/>
      <c r="AI1246" s="116"/>
    </row>
    <row r="1247" spans="27:35" ht="18">
      <c r="AA1247" s="116"/>
      <c r="AB1247" s="87"/>
      <c r="AC1247" s="116"/>
      <c r="AD1247" s="116"/>
      <c r="AE1247" s="116"/>
      <c r="AF1247" s="116"/>
      <c r="AG1247" s="116"/>
      <c r="AH1247" s="116"/>
      <c r="AI1247" s="116"/>
    </row>
    <row r="1248" spans="27:35" ht="18">
      <c r="AA1248" s="116"/>
      <c r="AB1248" s="184"/>
      <c r="AC1248" s="116"/>
      <c r="AD1248" s="116"/>
      <c r="AE1248" s="116"/>
      <c r="AF1248" s="116"/>
      <c r="AG1248" s="116"/>
      <c r="AH1248" s="116"/>
      <c r="AI1248" s="116"/>
    </row>
    <row r="1249" spans="27:35" ht="18">
      <c r="AA1249" s="116"/>
      <c r="AB1249" s="87"/>
      <c r="AC1249" s="116"/>
      <c r="AD1249" s="116"/>
      <c r="AE1249" s="116"/>
      <c r="AF1249" s="116"/>
      <c r="AG1249" s="116"/>
      <c r="AH1249" s="116"/>
      <c r="AI1249" s="116"/>
    </row>
    <row r="1250" spans="27:35" ht="18">
      <c r="AA1250" s="116"/>
      <c r="AB1250" s="87"/>
      <c r="AC1250" s="116"/>
      <c r="AD1250" s="116"/>
      <c r="AE1250" s="116"/>
      <c r="AF1250" s="116"/>
      <c r="AG1250" s="116"/>
      <c r="AH1250" s="116"/>
      <c r="AI1250" s="116"/>
    </row>
    <row r="1251" spans="27:35" ht="18">
      <c r="AA1251" s="116"/>
      <c r="AB1251" s="184"/>
      <c r="AC1251" s="116"/>
      <c r="AD1251" s="116"/>
      <c r="AE1251" s="116"/>
      <c r="AF1251" s="116"/>
      <c r="AG1251" s="116"/>
      <c r="AH1251" s="116"/>
      <c r="AI1251" s="116"/>
    </row>
    <row r="1252" spans="27:35" ht="18">
      <c r="AA1252" s="116"/>
      <c r="AB1252" s="87"/>
      <c r="AC1252" s="116"/>
      <c r="AD1252" s="116"/>
      <c r="AE1252" s="116"/>
      <c r="AF1252" s="116"/>
      <c r="AG1252" s="116"/>
      <c r="AH1252" s="116"/>
      <c r="AI1252" s="116"/>
    </row>
    <row r="1253" spans="27:35" ht="18">
      <c r="AA1253" s="116"/>
      <c r="AB1253" s="87"/>
      <c r="AC1253" s="116"/>
      <c r="AD1253" s="116"/>
      <c r="AE1253" s="116"/>
      <c r="AF1253" s="116"/>
      <c r="AG1253" s="116"/>
      <c r="AH1253" s="116"/>
      <c r="AI1253" s="116"/>
    </row>
    <row r="1254" spans="27:35" ht="18">
      <c r="AA1254" s="116"/>
      <c r="AB1254" s="87"/>
      <c r="AC1254" s="116"/>
      <c r="AD1254" s="116"/>
      <c r="AE1254" s="116"/>
      <c r="AF1254" s="116"/>
      <c r="AG1254" s="116"/>
      <c r="AH1254" s="116"/>
      <c r="AI1254" s="116"/>
    </row>
    <row r="1255" spans="27:35" ht="18">
      <c r="AA1255" s="116"/>
      <c r="AB1255" s="184"/>
      <c r="AC1255" s="116"/>
      <c r="AD1255" s="116"/>
      <c r="AE1255" s="116"/>
      <c r="AF1255" s="116"/>
      <c r="AG1255" s="116"/>
      <c r="AH1255" s="116"/>
      <c r="AI1255" s="116"/>
    </row>
    <row r="1256" spans="27:35" ht="18">
      <c r="AA1256" s="116"/>
      <c r="AB1256" s="184"/>
      <c r="AC1256" s="116"/>
      <c r="AD1256" s="116"/>
      <c r="AE1256" s="116"/>
      <c r="AF1256" s="116"/>
      <c r="AG1256" s="116"/>
      <c r="AH1256" s="116"/>
      <c r="AI1256" s="116"/>
    </row>
    <row r="1257" spans="27:35" ht="18">
      <c r="AA1257" s="116"/>
      <c r="AB1257" s="87"/>
      <c r="AC1257" s="116"/>
      <c r="AD1257" s="116"/>
      <c r="AE1257" s="116"/>
      <c r="AF1257" s="116"/>
      <c r="AG1257" s="116"/>
      <c r="AH1257" s="116"/>
      <c r="AI1257" s="116"/>
    </row>
    <row r="1258" spans="27:35" ht="18">
      <c r="AA1258" s="116"/>
      <c r="AB1258" s="87"/>
      <c r="AC1258" s="116"/>
      <c r="AD1258" s="116"/>
      <c r="AE1258" s="116"/>
      <c r="AF1258" s="116"/>
      <c r="AG1258" s="116"/>
      <c r="AH1258" s="116"/>
      <c r="AI1258" s="116"/>
    </row>
    <row r="1259" spans="27:35" ht="18">
      <c r="AA1259" s="116"/>
      <c r="AB1259" s="87"/>
      <c r="AC1259" s="116"/>
      <c r="AD1259" s="116"/>
      <c r="AE1259" s="116"/>
      <c r="AF1259" s="116"/>
      <c r="AG1259" s="116"/>
      <c r="AH1259" s="116"/>
      <c r="AI1259" s="116"/>
    </row>
    <row r="1260" spans="27:35" ht="18">
      <c r="AA1260" s="116"/>
      <c r="AB1260" s="184"/>
      <c r="AC1260" s="116"/>
      <c r="AD1260" s="116"/>
      <c r="AE1260" s="116"/>
      <c r="AF1260" s="116"/>
      <c r="AG1260" s="116"/>
      <c r="AH1260" s="116"/>
      <c r="AI1260" s="116"/>
    </row>
    <row r="1261" spans="27:35" ht="18">
      <c r="AA1261" s="116"/>
      <c r="AB1261" s="87"/>
      <c r="AC1261" s="116"/>
      <c r="AD1261" s="116"/>
      <c r="AE1261" s="116"/>
      <c r="AF1261" s="116"/>
      <c r="AG1261" s="116"/>
      <c r="AH1261" s="116"/>
      <c r="AI1261" s="116"/>
    </row>
    <row r="1262" spans="27:35" ht="18">
      <c r="AA1262" s="116"/>
      <c r="AB1262" s="87"/>
      <c r="AC1262" s="116"/>
      <c r="AD1262" s="116"/>
      <c r="AE1262" s="116"/>
      <c r="AF1262" s="116"/>
      <c r="AG1262" s="116"/>
      <c r="AH1262" s="116"/>
      <c r="AI1262" s="116"/>
    </row>
    <row r="1263" spans="27:35" ht="18">
      <c r="AA1263" s="116"/>
      <c r="AB1263" s="87"/>
      <c r="AC1263" s="116"/>
      <c r="AD1263" s="116"/>
      <c r="AE1263" s="116"/>
      <c r="AF1263" s="116"/>
      <c r="AG1263" s="116"/>
      <c r="AH1263" s="116"/>
      <c r="AI1263" s="116"/>
    </row>
    <row r="1264" spans="27:35" ht="18">
      <c r="AA1264" s="116"/>
      <c r="AB1264" s="87"/>
      <c r="AC1264" s="116"/>
      <c r="AD1264" s="116"/>
      <c r="AE1264" s="116"/>
      <c r="AF1264" s="116"/>
      <c r="AG1264" s="116"/>
      <c r="AH1264" s="116"/>
      <c r="AI1264" s="116"/>
    </row>
    <row r="1265" spans="27:35" ht="18">
      <c r="AA1265" s="116"/>
      <c r="AB1265" s="87"/>
      <c r="AC1265" s="116"/>
      <c r="AD1265" s="116"/>
      <c r="AE1265" s="116"/>
      <c r="AF1265" s="116"/>
      <c r="AG1265" s="116"/>
      <c r="AH1265" s="116"/>
      <c r="AI1265" s="116"/>
    </row>
    <row r="1266" spans="27:35" ht="18">
      <c r="AA1266" s="116"/>
      <c r="AB1266" s="87"/>
      <c r="AC1266" s="116"/>
      <c r="AD1266" s="116"/>
      <c r="AE1266" s="116"/>
      <c r="AF1266" s="116"/>
      <c r="AG1266" s="116"/>
      <c r="AH1266" s="116"/>
      <c r="AI1266" s="116"/>
    </row>
    <row r="1267" spans="27:35" ht="18">
      <c r="AA1267" s="116"/>
      <c r="AB1267" s="87"/>
      <c r="AC1267" s="116"/>
      <c r="AD1267" s="116"/>
      <c r="AE1267" s="116"/>
      <c r="AF1267" s="116"/>
      <c r="AG1267" s="116"/>
      <c r="AH1267" s="116"/>
      <c r="AI1267" s="116"/>
    </row>
    <row r="1268" spans="27:35" ht="18">
      <c r="AA1268" s="116"/>
      <c r="AB1268" s="87"/>
      <c r="AC1268" s="116"/>
      <c r="AD1268" s="116"/>
      <c r="AE1268" s="116"/>
      <c r="AF1268" s="116"/>
      <c r="AG1268" s="116"/>
      <c r="AH1268" s="116"/>
      <c r="AI1268" s="116"/>
    </row>
    <row r="1269" spans="27:35" ht="18">
      <c r="AA1269" s="116"/>
      <c r="AB1269" s="87"/>
      <c r="AC1269" s="116"/>
      <c r="AD1269" s="116"/>
      <c r="AE1269" s="116"/>
      <c r="AF1269" s="116"/>
      <c r="AG1269" s="116"/>
      <c r="AH1269" s="116"/>
      <c r="AI1269" s="116"/>
    </row>
    <row r="1270" spans="27:35" ht="18">
      <c r="AA1270" s="116"/>
      <c r="AB1270" s="87"/>
      <c r="AC1270" s="116"/>
      <c r="AD1270" s="116"/>
      <c r="AE1270" s="116"/>
      <c r="AF1270" s="116"/>
      <c r="AG1270" s="116"/>
      <c r="AH1270" s="116"/>
      <c r="AI1270" s="116"/>
    </row>
    <row r="1271" spans="27:35" ht="18">
      <c r="AA1271" s="116"/>
      <c r="AB1271" s="87"/>
      <c r="AC1271" s="116"/>
      <c r="AD1271" s="116"/>
      <c r="AE1271" s="116"/>
      <c r="AF1271" s="116"/>
      <c r="AG1271" s="116"/>
      <c r="AH1271" s="116"/>
      <c r="AI1271" s="116"/>
    </row>
    <row r="1272" spans="27:35" ht="18">
      <c r="AA1272" s="116"/>
      <c r="AB1272" s="87"/>
      <c r="AC1272" s="116"/>
      <c r="AD1272" s="116"/>
      <c r="AE1272" s="116"/>
      <c r="AF1272" s="116"/>
      <c r="AG1272" s="116"/>
      <c r="AH1272" s="116"/>
      <c r="AI1272" s="116"/>
    </row>
    <row r="1273" spans="27:35" ht="18">
      <c r="AA1273" s="116"/>
      <c r="AB1273" s="184"/>
      <c r="AC1273" s="116"/>
      <c r="AD1273" s="116"/>
      <c r="AE1273" s="116"/>
      <c r="AF1273" s="116"/>
      <c r="AG1273" s="116"/>
      <c r="AH1273" s="116"/>
      <c r="AI1273" s="116"/>
    </row>
    <row r="1274" spans="27:35" ht="18">
      <c r="AA1274" s="116"/>
      <c r="AB1274" s="87"/>
      <c r="AC1274" s="116"/>
      <c r="AD1274" s="116"/>
      <c r="AE1274" s="116"/>
      <c r="AF1274" s="116"/>
      <c r="AG1274" s="116"/>
      <c r="AH1274" s="116"/>
      <c r="AI1274" s="116"/>
    </row>
    <row r="1275" spans="27:35" ht="18">
      <c r="AA1275" s="116"/>
      <c r="AB1275" s="87"/>
      <c r="AC1275" s="116"/>
      <c r="AD1275" s="116"/>
      <c r="AE1275" s="116"/>
      <c r="AF1275" s="116"/>
      <c r="AG1275" s="116"/>
      <c r="AH1275" s="116"/>
      <c r="AI1275" s="116"/>
    </row>
    <row r="1276" spans="27:35" ht="18">
      <c r="AA1276" s="116"/>
      <c r="AB1276" s="87"/>
      <c r="AC1276" s="116"/>
      <c r="AD1276" s="116"/>
      <c r="AE1276" s="116"/>
      <c r="AF1276" s="116"/>
      <c r="AG1276" s="116"/>
      <c r="AH1276" s="116"/>
      <c r="AI1276" s="116"/>
    </row>
    <row r="1277" spans="27:35" ht="18">
      <c r="AA1277" s="116"/>
      <c r="AB1277" s="87"/>
      <c r="AC1277" s="116"/>
      <c r="AD1277" s="116"/>
      <c r="AE1277" s="116"/>
      <c r="AF1277" s="116"/>
      <c r="AG1277" s="116"/>
      <c r="AH1277" s="116"/>
      <c r="AI1277" s="116"/>
    </row>
    <row r="1278" spans="27:35" ht="18">
      <c r="AA1278" s="116"/>
      <c r="AB1278" s="87"/>
      <c r="AC1278" s="116"/>
      <c r="AD1278" s="116"/>
      <c r="AE1278" s="116"/>
      <c r="AF1278" s="116"/>
      <c r="AG1278" s="116"/>
      <c r="AH1278" s="116"/>
      <c r="AI1278" s="116"/>
    </row>
    <row r="1279" spans="27:35" ht="18">
      <c r="AA1279" s="116"/>
      <c r="AB1279" s="87"/>
      <c r="AC1279" s="116"/>
      <c r="AD1279" s="116"/>
      <c r="AE1279" s="116"/>
      <c r="AF1279" s="116"/>
      <c r="AG1279" s="116"/>
      <c r="AH1279" s="116"/>
      <c r="AI1279" s="116"/>
    </row>
    <row r="1280" spans="27:35" ht="18">
      <c r="AA1280" s="116"/>
      <c r="AB1280" s="87"/>
      <c r="AC1280" s="116"/>
      <c r="AD1280" s="116"/>
      <c r="AE1280" s="116"/>
      <c r="AF1280" s="116"/>
      <c r="AG1280" s="116"/>
      <c r="AH1280" s="116"/>
      <c r="AI1280" s="116"/>
    </row>
    <row r="1281" spans="27:35" ht="18">
      <c r="AA1281" s="116"/>
      <c r="AB1281" s="87"/>
      <c r="AC1281" s="116"/>
      <c r="AD1281" s="116"/>
      <c r="AE1281" s="116"/>
      <c r="AF1281" s="116"/>
      <c r="AG1281" s="116"/>
      <c r="AH1281" s="116"/>
      <c r="AI1281" s="116"/>
    </row>
    <row r="1282" spans="27:35" ht="18">
      <c r="AA1282" s="116"/>
      <c r="AB1282" s="87"/>
      <c r="AC1282" s="116"/>
      <c r="AD1282" s="116"/>
      <c r="AE1282" s="116"/>
      <c r="AF1282" s="116"/>
      <c r="AG1282" s="116"/>
      <c r="AH1282" s="116"/>
      <c r="AI1282" s="116"/>
    </row>
    <row r="1283" spans="27:35" ht="18">
      <c r="AA1283" s="116"/>
      <c r="AB1283" s="87"/>
      <c r="AC1283" s="116"/>
      <c r="AD1283" s="116"/>
      <c r="AE1283" s="116"/>
      <c r="AF1283" s="116"/>
      <c r="AG1283" s="116"/>
      <c r="AH1283" s="116"/>
      <c r="AI1283" s="116"/>
    </row>
    <row r="1284" spans="27:35" ht="18">
      <c r="AA1284" s="116"/>
      <c r="AB1284" s="87"/>
      <c r="AC1284" s="116"/>
      <c r="AD1284" s="116"/>
      <c r="AE1284" s="116"/>
      <c r="AF1284" s="116"/>
      <c r="AG1284" s="116"/>
      <c r="AH1284" s="116"/>
      <c r="AI1284" s="116"/>
    </row>
    <row r="1285" spans="27:35" ht="18">
      <c r="AA1285" s="116"/>
      <c r="AB1285" s="87"/>
      <c r="AC1285" s="116"/>
      <c r="AD1285" s="116"/>
      <c r="AE1285" s="116"/>
      <c r="AF1285" s="116"/>
      <c r="AG1285" s="116"/>
      <c r="AH1285" s="116"/>
      <c r="AI1285" s="116"/>
    </row>
    <row r="1286" spans="27:35" ht="18">
      <c r="AA1286" s="116"/>
      <c r="AB1286" s="87"/>
      <c r="AC1286" s="116"/>
      <c r="AD1286" s="116"/>
      <c r="AE1286" s="116"/>
      <c r="AF1286" s="116"/>
      <c r="AG1286" s="116"/>
      <c r="AH1286" s="116"/>
      <c r="AI1286" s="116"/>
    </row>
    <row r="1287" spans="27:35" ht="18">
      <c r="AA1287" s="116"/>
      <c r="AB1287" s="87"/>
      <c r="AC1287" s="116"/>
      <c r="AD1287" s="116"/>
      <c r="AE1287" s="116"/>
      <c r="AF1287" s="116"/>
      <c r="AG1287" s="116"/>
      <c r="AH1287" s="116"/>
      <c r="AI1287" s="116"/>
    </row>
    <row r="1288" spans="27:35" ht="18">
      <c r="AA1288" s="116"/>
      <c r="AB1288" s="87"/>
      <c r="AC1288" s="116"/>
      <c r="AD1288" s="116"/>
      <c r="AE1288" s="116"/>
      <c r="AF1288" s="116"/>
      <c r="AG1288" s="116"/>
      <c r="AH1288" s="116"/>
      <c r="AI1288" s="116"/>
    </row>
    <row r="1289" spans="27:35" ht="18">
      <c r="AA1289" s="116"/>
      <c r="AB1289" s="87"/>
      <c r="AC1289" s="116"/>
      <c r="AD1289" s="116"/>
      <c r="AE1289" s="116"/>
      <c r="AF1289" s="116"/>
      <c r="AG1289" s="116"/>
      <c r="AH1289" s="116"/>
      <c r="AI1289" s="116"/>
    </row>
    <row r="1290" spans="27:35" ht="18">
      <c r="AA1290" s="116"/>
      <c r="AB1290" s="87"/>
      <c r="AC1290" s="116"/>
      <c r="AD1290" s="116"/>
      <c r="AE1290" s="116"/>
      <c r="AF1290" s="116"/>
      <c r="AG1290" s="116"/>
      <c r="AH1290" s="116"/>
      <c r="AI1290" s="116"/>
    </row>
    <row r="1291" spans="27:35" ht="18">
      <c r="AA1291" s="116"/>
      <c r="AB1291" s="87"/>
      <c r="AC1291" s="116"/>
      <c r="AD1291" s="116"/>
      <c r="AE1291" s="116"/>
      <c r="AF1291" s="116"/>
      <c r="AG1291" s="116"/>
      <c r="AH1291" s="116"/>
      <c r="AI1291" s="116"/>
    </row>
    <row r="1292" spans="27:35" ht="18">
      <c r="AA1292" s="116"/>
      <c r="AB1292" s="87"/>
      <c r="AC1292" s="116"/>
      <c r="AD1292" s="116"/>
      <c r="AE1292" s="116"/>
      <c r="AF1292" s="116"/>
      <c r="AG1292" s="116"/>
      <c r="AH1292" s="116"/>
      <c r="AI1292" s="116"/>
    </row>
    <row r="1293" spans="27:35" ht="18">
      <c r="AA1293" s="116"/>
      <c r="AB1293" s="87"/>
      <c r="AC1293" s="116"/>
      <c r="AD1293" s="116"/>
      <c r="AE1293" s="116"/>
      <c r="AF1293" s="116"/>
      <c r="AG1293" s="116"/>
      <c r="AH1293" s="116"/>
      <c r="AI1293" s="116"/>
    </row>
    <row r="1294" spans="27:35" ht="18">
      <c r="AA1294" s="116"/>
      <c r="AB1294" s="87"/>
      <c r="AC1294" s="116"/>
      <c r="AD1294" s="116"/>
      <c r="AE1294" s="116"/>
      <c r="AF1294" s="116"/>
      <c r="AG1294" s="116"/>
      <c r="AH1294" s="116"/>
      <c r="AI1294" s="116"/>
    </row>
    <row r="1295" spans="27:35" ht="18">
      <c r="AA1295" s="116"/>
      <c r="AB1295" s="87"/>
      <c r="AC1295" s="116"/>
      <c r="AD1295" s="116"/>
      <c r="AE1295" s="116"/>
      <c r="AF1295" s="116"/>
      <c r="AG1295" s="116"/>
      <c r="AH1295" s="116"/>
      <c r="AI1295" s="116"/>
    </row>
    <row r="1296" spans="27:35" ht="18">
      <c r="AA1296" s="116"/>
      <c r="AB1296" s="87"/>
      <c r="AC1296" s="116"/>
      <c r="AD1296" s="116"/>
      <c r="AE1296" s="116"/>
      <c r="AF1296" s="116"/>
      <c r="AG1296" s="116"/>
      <c r="AH1296" s="116"/>
      <c r="AI1296" s="116"/>
    </row>
    <row r="1297" spans="27:35" ht="18">
      <c r="AA1297" s="116"/>
      <c r="AB1297" s="87"/>
      <c r="AC1297" s="116"/>
      <c r="AD1297" s="116"/>
      <c r="AE1297" s="116"/>
      <c r="AF1297" s="116"/>
      <c r="AG1297" s="116"/>
      <c r="AH1297" s="116"/>
      <c r="AI1297" s="116"/>
    </row>
    <row r="1298" spans="27:35" ht="18">
      <c r="AA1298" s="116"/>
      <c r="AB1298" s="87"/>
      <c r="AC1298" s="116"/>
      <c r="AD1298" s="116"/>
      <c r="AE1298" s="116"/>
      <c r="AF1298" s="116"/>
      <c r="AG1298" s="116"/>
      <c r="AH1298" s="116"/>
      <c r="AI1298" s="116"/>
    </row>
    <row r="1299" spans="27:35" ht="18">
      <c r="AA1299" s="116"/>
      <c r="AB1299" s="87"/>
      <c r="AC1299" s="116"/>
      <c r="AD1299" s="116"/>
      <c r="AE1299" s="116"/>
      <c r="AF1299" s="116"/>
      <c r="AG1299" s="116"/>
      <c r="AH1299" s="116"/>
      <c r="AI1299" s="116"/>
    </row>
    <row r="1300" spans="27:35" ht="18">
      <c r="AA1300" s="116"/>
      <c r="AB1300" s="87"/>
      <c r="AC1300" s="116"/>
      <c r="AD1300" s="116"/>
      <c r="AE1300" s="116"/>
      <c r="AF1300" s="116"/>
      <c r="AG1300" s="116"/>
      <c r="AH1300" s="116"/>
      <c r="AI1300" s="116"/>
    </row>
    <row r="1301" spans="27:35" ht="18">
      <c r="AA1301" s="116"/>
      <c r="AB1301" s="87"/>
      <c r="AC1301" s="116"/>
      <c r="AD1301" s="116"/>
      <c r="AE1301" s="116"/>
      <c r="AF1301" s="116"/>
      <c r="AG1301" s="116"/>
      <c r="AH1301" s="116"/>
      <c r="AI1301" s="116"/>
    </row>
    <row r="1302" spans="27:35" ht="18">
      <c r="AA1302" s="116"/>
      <c r="AB1302" s="87"/>
      <c r="AC1302" s="116"/>
      <c r="AD1302" s="116"/>
      <c r="AE1302" s="116"/>
      <c r="AF1302" s="116"/>
      <c r="AG1302" s="116"/>
      <c r="AH1302" s="116"/>
      <c r="AI1302" s="116"/>
    </row>
    <row r="1303" spans="27:35" ht="18">
      <c r="AA1303" s="116"/>
      <c r="AB1303" s="87"/>
      <c r="AC1303" s="116"/>
      <c r="AD1303" s="116"/>
      <c r="AE1303" s="116"/>
      <c r="AF1303" s="116"/>
      <c r="AG1303" s="116"/>
      <c r="AH1303" s="116"/>
      <c r="AI1303" s="116"/>
    </row>
    <row r="1304" spans="27:35" ht="18">
      <c r="AA1304" s="116"/>
      <c r="AB1304" s="87"/>
      <c r="AC1304" s="116"/>
      <c r="AD1304" s="116"/>
      <c r="AE1304" s="116"/>
      <c r="AF1304" s="116"/>
      <c r="AG1304" s="116"/>
      <c r="AH1304" s="116"/>
      <c r="AI1304" s="116"/>
    </row>
    <row r="1305" spans="27:35" ht="18">
      <c r="AA1305" s="116"/>
      <c r="AB1305" s="87"/>
      <c r="AC1305" s="116"/>
      <c r="AD1305" s="116"/>
      <c r="AE1305" s="116"/>
      <c r="AF1305" s="116"/>
      <c r="AG1305" s="116"/>
      <c r="AH1305" s="116"/>
      <c r="AI1305" s="116"/>
    </row>
    <row r="1306" spans="27:35" ht="18">
      <c r="AA1306" s="116"/>
      <c r="AB1306" s="87"/>
      <c r="AC1306" s="116"/>
      <c r="AD1306" s="116"/>
      <c r="AE1306" s="116"/>
      <c r="AF1306" s="116"/>
      <c r="AG1306" s="116"/>
      <c r="AH1306" s="116"/>
      <c r="AI1306" s="116"/>
    </row>
    <row r="1307" spans="27:35" ht="18">
      <c r="AA1307" s="116"/>
      <c r="AB1307" s="184"/>
      <c r="AC1307" s="116"/>
      <c r="AD1307" s="116"/>
      <c r="AE1307" s="116"/>
      <c r="AF1307" s="116"/>
      <c r="AG1307" s="116"/>
      <c r="AH1307" s="116"/>
      <c r="AI1307" s="116"/>
    </row>
    <row r="1308" spans="27:35" ht="18">
      <c r="AA1308" s="116"/>
      <c r="AB1308" s="87"/>
      <c r="AC1308" s="116"/>
      <c r="AD1308" s="116"/>
      <c r="AE1308" s="116"/>
      <c r="AF1308" s="116"/>
      <c r="AG1308" s="116"/>
      <c r="AH1308" s="116"/>
      <c r="AI1308" s="116"/>
    </row>
    <row r="1309" spans="27:35" ht="18">
      <c r="AA1309" s="116"/>
      <c r="AB1309" s="87"/>
      <c r="AC1309" s="116"/>
      <c r="AD1309" s="116"/>
      <c r="AE1309" s="116"/>
      <c r="AF1309" s="116"/>
      <c r="AG1309" s="116"/>
      <c r="AH1309" s="116"/>
      <c r="AI1309" s="116"/>
    </row>
    <row r="1310" spans="27:35" ht="18">
      <c r="AA1310" s="116"/>
      <c r="AB1310" s="87"/>
      <c r="AC1310" s="116"/>
      <c r="AD1310" s="116"/>
      <c r="AE1310" s="116"/>
      <c r="AF1310" s="116"/>
      <c r="AG1310" s="116"/>
      <c r="AH1310" s="116"/>
      <c r="AI1310" s="116"/>
    </row>
    <row r="1311" spans="27:35" ht="18">
      <c r="AA1311" s="116"/>
      <c r="AB1311" s="87"/>
      <c r="AC1311" s="116"/>
      <c r="AD1311" s="116"/>
      <c r="AE1311" s="116"/>
      <c r="AF1311" s="116"/>
      <c r="AG1311" s="116"/>
      <c r="AH1311" s="116"/>
      <c r="AI1311" s="116"/>
    </row>
    <row r="1312" spans="27:35" ht="18">
      <c r="AA1312" s="116"/>
      <c r="AB1312" s="87"/>
      <c r="AC1312" s="116"/>
      <c r="AD1312" s="116"/>
      <c r="AE1312" s="116"/>
      <c r="AF1312" s="116"/>
      <c r="AG1312" s="116"/>
      <c r="AH1312" s="116"/>
      <c r="AI1312" s="116"/>
    </row>
    <row r="1313" spans="27:35" ht="18">
      <c r="AA1313" s="116"/>
      <c r="AB1313" s="87"/>
      <c r="AC1313" s="116"/>
      <c r="AD1313" s="116"/>
      <c r="AE1313" s="116"/>
      <c r="AF1313" s="116"/>
      <c r="AG1313" s="116"/>
      <c r="AH1313" s="116"/>
      <c r="AI1313" s="116"/>
    </row>
    <row r="1314" spans="27:35" ht="18">
      <c r="AA1314" s="116"/>
      <c r="AB1314" s="87"/>
      <c r="AC1314" s="116"/>
      <c r="AD1314" s="116"/>
      <c r="AE1314" s="116"/>
      <c r="AF1314" s="116"/>
      <c r="AG1314" s="116"/>
      <c r="AH1314" s="116"/>
      <c r="AI1314" s="116"/>
    </row>
    <row r="1315" spans="27:35" ht="18">
      <c r="AA1315" s="116"/>
      <c r="AB1315" s="87"/>
      <c r="AC1315" s="116"/>
      <c r="AD1315" s="116"/>
      <c r="AE1315" s="116"/>
      <c r="AF1315" s="116"/>
      <c r="AG1315" s="116"/>
      <c r="AH1315" s="116"/>
      <c r="AI1315" s="116"/>
    </row>
    <row r="1316" spans="27:35" ht="18">
      <c r="AA1316" s="116"/>
      <c r="AB1316" s="87"/>
      <c r="AC1316" s="116"/>
      <c r="AD1316" s="116"/>
      <c r="AE1316" s="116"/>
      <c r="AF1316" s="116"/>
      <c r="AG1316" s="116"/>
      <c r="AH1316" s="116"/>
      <c r="AI1316" s="116"/>
    </row>
    <row r="1317" spans="27:35" ht="18">
      <c r="AA1317" s="116"/>
      <c r="AB1317" s="87"/>
      <c r="AC1317" s="116"/>
      <c r="AD1317" s="116"/>
      <c r="AE1317" s="116"/>
      <c r="AF1317" s="116"/>
      <c r="AG1317" s="116"/>
      <c r="AH1317" s="116"/>
      <c r="AI1317" s="116"/>
    </row>
    <row r="1318" spans="27:35" ht="18">
      <c r="AA1318" s="116"/>
      <c r="AB1318" s="184"/>
      <c r="AC1318" s="116"/>
      <c r="AD1318" s="116"/>
      <c r="AE1318" s="116"/>
      <c r="AF1318" s="116"/>
      <c r="AG1318" s="116"/>
      <c r="AH1318" s="116"/>
      <c r="AI1318" s="116"/>
    </row>
    <row r="1319" spans="27:35" ht="18">
      <c r="AA1319" s="116"/>
      <c r="AB1319" s="87"/>
      <c r="AC1319" s="116"/>
      <c r="AD1319" s="116"/>
      <c r="AE1319" s="116"/>
      <c r="AF1319" s="116"/>
      <c r="AG1319" s="116"/>
      <c r="AH1319" s="116"/>
      <c r="AI1319" s="116"/>
    </row>
    <row r="1320" spans="27:35" ht="18">
      <c r="AA1320" s="116"/>
      <c r="AB1320" s="87"/>
      <c r="AC1320" s="116"/>
      <c r="AD1320" s="116"/>
      <c r="AE1320" s="116"/>
      <c r="AF1320" s="116"/>
      <c r="AG1320" s="116"/>
      <c r="AH1320" s="116"/>
      <c r="AI1320" s="116"/>
    </row>
    <row r="1321" spans="27:35" ht="18">
      <c r="AA1321" s="116"/>
      <c r="AB1321" s="87"/>
      <c r="AC1321" s="116"/>
      <c r="AD1321" s="116"/>
      <c r="AE1321" s="116"/>
      <c r="AF1321" s="116"/>
      <c r="AG1321" s="116"/>
      <c r="AH1321" s="116"/>
      <c r="AI1321" s="116"/>
    </row>
    <row r="1322" spans="27:35" ht="18">
      <c r="AA1322" s="116"/>
      <c r="AB1322" s="87"/>
      <c r="AC1322" s="116"/>
      <c r="AD1322" s="116"/>
      <c r="AE1322" s="116"/>
      <c r="AF1322" s="116"/>
      <c r="AG1322" s="116"/>
      <c r="AH1322" s="116"/>
      <c r="AI1322" s="116"/>
    </row>
    <row r="1323" spans="27:35" ht="18">
      <c r="AA1323" s="116"/>
      <c r="AB1323" s="87"/>
      <c r="AC1323" s="116"/>
      <c r="AD1323" s="116"/>
      <c r="AE1323" s="116"/>
      <c r="AF1323" s="116"/>
      <c r="AG1323" s="116"/>
      <c r="AH1323" s="116"/>
      <c r="AI1323" s="116"/>
    </row>
    <row r="1324" spans="27:35" ht="18">
      <c r="AA1324" s="116"/>
      <c r="AB1324" s="184"/>
      <c r="AC1324" s="116"/>
      <c r="AD1324" s="116"/>
      <c r="AE1324" s="116"/>
      <c r="AF1324" s="116"/>
      <c r="AG1324" s="116"/>
      <c r="AH1324" s="116"/>
      <c r="AI1324" s="116"/>
    </row>
    <row r="1325" spans="27:35" ht="18">
      <c r="AA1325" s="116"/>
      <c r="AB1325" s="87"/>
      <c r="AC1325" s="116"/>
      <c r="AD1325" s="116"/>
      <c r="AE1325" s="116"/>
      <c r="AF1325" s="116"/>
      <c r="AG1325" s="116"/>
      <c r="AH1325" s="116"/>
      <c r="AI1325" s="116"/>
    </row>
    <row r="1326" spans="27:35" ht="18">
      <c r="AA1326" s="116"/>
      <c r="AB1326" s="87"/>
      <c r="AC1326" s="116"/>
      <c r="AD1326" s="116"/>
      <c r="AE1326" s="116"/>
      <c r="AF1326" s="116"/>
      <c r="AG1326" s="116"/>
      <c r="AH1326" s="116"/>
      <c r="AI1326" s="116"/>
    </row>
    <row r="1327" spans="27:35" ht="18">
      <c r="AA1327" s="116"/>
      <c r="AB1327" s="87"/>
      <c r="AC1327" s="116"/>
      <c r="AD1327" s="116"/>
      <c r="AE1327" s="116"/>
      <c r="AF1327" s="116"/>
      <c r="AG1327" s="116"/>
      <c r="AH1327" s="116"/>
      <c r="AI1327" s="116"/>
    </row>
    <row r="1328" spans="27:35" ht="18">
      <c r="AA1328" s="116"/>
      <c r="AB1328" s="87"/>
      <c r="AC1328" s="116"/>
      <c r="AD1328" s="116"/>
      <c r="AE1328" s="116"/>
      <c r="AF1328" s="116"/>
      <c r="AG1328" s="116"/>
      <c r="AH1328" s="116"/>
      <c r="AI1328" s="116"/>
    </row>
    <row r="1329" spans="27:35" ht="18">
      <c r="AA1329" s="116"/>
      <c r="AB1329" s="87"/>
      <c r="AC1329" s="116"/>
      <c r="AD1329" s="116"/>
      <c r="AE1329" s="116"/>
      <c r="AF1329" s="116"/>
      <c r="AG1329" s="116"/>
      <c r="AH1329" s="116"/>
      <c r="AI1329" s="116"/>
    </row>
    <row r="1330" spans="27:35" ht="18">
      <c r="AA1330" s="116"/>
      <c r="AB1330" s="87"/>
      <c r="AC1330" s="116"/>
      <c r="AD1330" s="116"/>
      <c r="AE1330" s="116"/>
      <c r="AF1330" s="116"/>
      <c r="AG1330" s="116"/>
      <c r="AH1330" s="116"/>
      <c r="AI1330" s="116"/>
    </row>
    <row r="1331" spans="27:35" ht="18">
      <c r="AA1331" s="116"/>
      <c r="AB1331" s="87"/>
      <c r="AC1331" s="116"/>
      <c r="AD1331" s="116"/>
      <c r="AE1331" s="116"/>
      <c r="AF1331" s="116"/>
      <c r="AG1331" s="116"/>
      <c r="AH1331" s="116"/>
      <c r="AI1331" s="116"/>
    </row>
    <row r="1332" spans="27:35" ht="18">
      <c r="AA1332" s="116"/>
      <c r="AB1332" s="87"/>
      <c r="AC1332" s="116"/>
      <c r="AD1332" s="116"/>
      <c r="AE1332" s="116"/>
      <c r="AF1332" s="116"/>
      <c r="AG1332" s="116"/>
      <c r="AH1332" s="116"/>
      <c r="AI1332" s="116"/>
    </row>
    <row r="1333" spans="27:35" ht="18">
      <c r="AA1333" s="116"/>
      <c r="AB1333" s="87"/>
      <c r="AC1333" s="116"/>
      <c r="AD1333" s="116"/>
      <c r="AE1333" s="116"/>
      <c r="AF1333" s="116"/>
      <c r="AG1333" s="116"/>
      <c r="AH1333" s="116"/>
      <c r="AI1333" s="116"/>
    </row>
    <row r="1334" spans="27:35" ht="18">
      <c r="AA1334" s="116"/>
      <c r="AB1334" s="87"/>
      <c r="AC1334" s="116"/>
      <c r="AD1334" s="116"/>
      <c r="AE1334" s="116"/>
      <c r="AF1334" s="116"/>
      <c r="AG1334" s="116"/>
      <c r="AH1334" s="116"/>
      <c r="AI1334" s="116"/>
    </row>
    <row r="1335" spans="27:35" ht="18">
      <c r="AA1335" s="116"/>
      <c r="AB1335" s="87"/>
      <c r="AC1335" s="116"/>
      <c r="AD1335" s="116"/>
      <c r="AE1335" s="116"/>
      <c r="AF1335" s="116"/>
      <c r="AG1335" s="116"/>
      <c r="AH1335" s="116"/>
      <c r="AI1335" s="116"/>
    </row>
    <row r="1336" spans="27:35" ht="18">
      <c r="AA1336" s="116"/>
      <c r="AB1336" s="87"/>
      <c r="AC1336" s="116"/>
      <c r="AD1336" s="116"/>
      <c r="AE1336" s="116"/>
      <c r="AF1336" s="116"/>
      <c r="AG1336" s="116"/>
      <c r="AH1336" s="116"/>
      <c r="AI1336" s="116"/>
    </row>
    <row r="1337" spans="27:35" ht="18">
      <c r="AA1337" s="116"/>
      <c r="AB1337" s="87"/>
      <c r="AC1337" s="116"/>
      <c r="AD1337" s="116"/>
      <c r="AE1337" s="116"/>
      <c r="AF1337" s="116"/>
      <c r="AG1337" s="116"/>
      <c r="AH1337" s="116"/>
      <c r="AI1337" s="116"/>
    </row>
    <row r="1338" spans="27:35" ht="18">
      <c r="AA1338" s="116"/>
      <c r="AB1338" s="87"/>
      <c r="AC1338" s="116"/>
      <c r="AD1338" s="116"/>
      <c r="AE1338" s="116"/>
      <c r="AF1338" s="116"/>
      <c r="AG1338" s="116"/>
      <c r="AH1338" s="116"/>
      <c r="AI1338" s="116"/>
    </row>
    <row r="1339" spans="27:35" ht="18">
      <c r="AA1339" s="116"/>
      <c r="AB1339" s="87"/>
      <c r="AC1339" s="116"/>
      <c r="AD1339" s="116"/>
      <c r="AE1339" s="116"/>
      <c r="AF1339" s="116"/>
      <c r="AG1339" s="116"/>
      <c r="AH1339" s="116"/>
      <c r="AI1339" s="116"/>
    </row>
    <row r="1340" spans="27:35" ht="18">
      <c r="AA1340" s="116"/>
      <c r="AB1340" s="87"/>
      <c r="AC1340" s="116"/>
      <c r="AD1340" s="116"/>
      <c r="AE1340" s="116"/>
      <c r="AF1340" s="116"/>
      <c r="AG1340" s="116"/>
      <c r="AH1340" s="116"/>
      <c r="AI1340" s="116"/>
    </row>
    <row r="1341" spans="27:35" ht="18">
      <c r="AA1341" s="116"/>
      <c r="AB1341" s="87"/>
      <c r="AC1341" s="116"/>
      <c r="AD1341" s="116"/>
      <c r="AE1341" s="116"/>
      <c r="AF1341" s="116"/>
      <c r="AG1341" s="116"/>
      <c r="AH1341" s="116"/>
      <c r="AI1341" s="116"/>
    </row>
    <row r="1342" spans="27:35" ht="18">
      <c r="AA1342" s="116"/>
      <c r="AB1342" s="87"/>
      <c r="AC1342" s="116"/>
      <c r="AD1342" s="116"/>
      <c r="AE1342" s="116"/>
      <c r="AF1342" s="116"/>
      <c r="AG1342" s="116"/>
      <c r="AH1342" s="116"/>
      <c r="AI1342" s="116"/>
    </row>
    <row r="1343" spans="27:35" ht="18">
      <c r="AA1343" s="116"/>
      <c r="AB1343" s="87"/>
      <c r="AC1343" s="116"/>
      <c r="AD1343" s="116"/>
      <c r="AE1343" s="116"/>
      <c r="AF1343" s="116"/>
      <c r="AG1343" s="116"/>
      <c r="AH1343" s="116"/>
      <c r="AI1343" s="116"/>
    </row>
    <row r="1344" spans="27:35" ht="18">
      <c r="AA1344" s="116"/>
      <c r="AB1344" s="87"/>
      <c r="AC1344" s="116"/>
      <c r="AD1344" s="116"/>
      <c r="AE1344" s="116"/>
      <c r="AF1344" s="116"/>
      <c r="AG1344" s="116"/>
      <c r="AH1344" s="116"/>
      <c r="AI1344" s="116"/>
    </row>
    <row r="1345" spans="27:35" ht="18">
      <c r="AA1345" s="116"/>
      <c r="AB1345" s="87"/>
      <c r="AC1345" s="116"/>
      <c r="AD1345" s="116"/>
      <c r="AE1345" s="116"/>
      <c r="AF1345" s="116"/>
      <c r="AG1345" s="116"/>
      <c r="AH1345" s="116"/>
      <c r="AI1345" s="116"/>
    </row>
    <row r="1346" spans="27:35" ht="18">
      <c r="AA1346" s="116"/>
      <c r="AB1346" s="87"/>
      <c r="AC1346" s="116"/>
      <c r="AD1346" s="116"/>
      <c r="AE1346" s="116"/>
      <c r="AF1346" s="116"/>
      <c r="AG1346" s="116"/>
      <c r="AH1346" s="116"/>
      <c r="AI1346" s="116"/>
    </row>
    <row r="1347" spans="27:35" ht="18">
      <c r="AA1347" s="116"/>
      <c r="AB1347" s="87"/>
      <c r="AC1347" s="116"/>
      <c r="AD1347" s="116"/>
      <c r="AE1347" s="116"/>
      <c r="AF1347" s="116"/>
      <c r="AG1347" s="116"/>
      <c r="AH1347" s="116"/>
      <c r="AI1347" s="116"/>
    </row>
    <row r="1348" spans="27:35" ht="18">
      <c r="AA1348" s="116"/>
      <c r="AB1348" s="87"/>
      <c r="AC1348" s="116"/>
      <c r="AD1348" s="116"/>
      <c r="AE1348" s="116"/>
      <c r="AF1348" s="116"/>
      <c r="AG1348" s="116"/>
      <c r="AH1348" s="116"/>
      <c r="AI1348" s="116"/>
    </row>
    <row r="1349" spans="27:35" ht="18">
      <c r="AA1349" s="116"/>
      <c r="AB1349" s="87"/>
      <c r="AC1349" s="116"/>
      <c r="AD1349" s="116"/>
      <c r="AE1349" s="116"/>
      <c r="AF1349" s="116"/>
      <c r="AG1349" s="116"/>
      <c r="AH1349" s="116"/>
      <c r="AI1349" s="116"/>
    </row>
    <row r="1350" spans="27:35" ht="18">
      <c r="AA1350" s="116"/>
      <c r="AB1350" s="87"/>
      <c r="AC1350" s="116"/>
      <c r="AD1350" s="116"/>
      <c r="AE1350" s="116"/>
      <c r="AF1350" s="116"/>
      <c r="AG1350" s="116"/>
      <c r="AH1350" s="116"/>
      <c r="AI1350" s="116"/>
    </row>
    <row r="1351" spans="27:35" ht="18">
      <c r="AA1351" s="116"/>
      <c r="AB1351" s="87"/>
      <c r="AC1351" s="116"/>
      <c r="AD1351" s="116"/>
      <c r="AE1351" s="116"/>
      <c r="AF1351" s="116"/>
      <c r="AG1351" s="116"/>
      <c r="AH1351" s="116"/>
      <c r="AI1351" s="116"/>
    </row>
    <row r="1352" spans="27:35" ht="18">
      <c r="AA1352" s="116"/>
      <c r="AB1352" s="87"/>
      <c r="AC1352" s="116"/>
      <c r="AD1352" s="116"/>
      <c r="AE1352" s="116"/>
      <c r="AF1352" s="116"/>
      <c r="AG1352" s="116"/>
      <c r="AH1352" s="116"/>
      <c r="AI1352" s="116"/>
    </row>
    <row r="1353" spans="27:35" ht="18">
      <c r="AA1353" s="116"/>
      <c r="AB1353" s="87"/>
      <c r="AC1353" s="116"/>
      <c r="AD1353" s="116"/>
      <c r="AE1353" s="116"/>
      <c r="AF1353" s="116"/>
      <c r="AG1353" s="116"/>
      <c r="AH1353" s="116"/>
      <c r="AI1353" s="116"/>
    </row>
    <row r="1354" spans="27:35" ht="18">
      <c r="AA1354" s="116"/>
      <c r="AB1354" s="87"/>
      <c r="AC1354" s="116"/>
      <c r="AD1354" s="116"/>
      <c r="AE1354" s="116"/>
      <c r="AF1354" s="116"/>
      <c r="AG1354" s="116"/>
      <c r="AH1354" s="116"/>
      <c r="AI1354" s="116"/>
    </row>
    <row r="1355" spans="27:35" ht="18">
      <c r="AA1355" s="116"/>
      <c r="AB1355" s="87"/>
      <c r="AC1355" s="116"/>
      <c r="AD1355" s="116"/>
      <c r="AE1355" s="116"/>
      <c r="AF1355" s="116"/>
      <c r="AG1355" s="116"/>
      <c r="AH1355" s="116"/>
      <c r="AI1355" s="116"/>
    </row>
    <row r="1356" spans="27:35" ht="18">
      <c r="AA1356" s="116"/>
      <c r="AB1356" s="184"/>
      <c r="AC1356" s="116"/>
      <c r="AD1356" s="116"/>
      <c r="AE1356" s="116"/>
      <c r="AF1356" s="116"/>
      <c r="AG1356" s="116"/>
      <c r="AH1356" s="116"/>
      <c r="AI1356" s="116"/>
    </row>
    <row r="1357" spans="27:35" ht="18">
      <c r="AA1357" s="116"/>
      <c r="AB1357" s="184"/>
      <c r="AC1357" s="116"/>
      <c r="AD1357" s="116"/>
      <c r="AE1357" s="116"/>
      <c r="AF1357" s="116"/>
      <c r="AG1357" s="116"/>
      <c r="AH1357" s="116"/>
      <c r="AI1357" s="116"/>
    </row>
    <row r="1358" spans="27:35" ht="18">
      <c r="AA1358" s="116"/>
      <c r="AB1358" s="87"/>
      <c r="AC1358" s="116"/>
      <c r="AD1358" s="116"/>
      <c r="AE1358" s="116"/>
      <c r="AF1358" s="116"/>
      <c r="AG1358" s="116"/>
      <c r="AH1358" s="116"/>
      <c r="AI1358" s="116"/>
    </row>
    <row r="1359" spans="27:35" ht="18">
      <c r="AA1359" s="116"/>
      <c r="AB1359" s="87"/>
      <c r="AC1359" s="116"/>
      <c r="AD1359" s="116"/>
      <c r="AE1359" s="116"/>
      <c r="AF1359" s="116"/>
      <c r="AG1359" s="116"/>
      <c r="AH1359" s="116"/>
      <c r="AI1359" s="116"/>
    </row>
    <row r="1360" spans="27:35" ht="18">
      <c r="AA1360" s="116"/>
      <c r="AB1360" s="87"/>
      <c r="AC1360" s="116"/>
      <c r="AD1360" s="116"/>
      <c r="AE1360" s="116"/>
      <c r="AF1360" s="116"/>
      <c r="AG1360" s="116"/>
      <c r="AH1360" s="116"/>
      <c r="AI1360" s="116"/>
    </row>
    <row r="1361" spans="27:35" ht="18">
      <c r="AA1361" s="116"/>
      <c r="AB1361" s="87"/>
      <c r="AC1361" s="116"/>
      <c r="AD1361" s="116"/>
      <c r="AE1361" s="116"/>
      <c r="AF1361" s="116"/>
      <c r="AG1361" s="116"/>
      <c r="AH1361" s="116"/>
      <c r="AI1361" s="116"/>
    </row>
    <row r="1362" spans="27:35" ht="18">
      <c r="AA1362" s="116"/>
      <c r="AB1362" s="87"/>
      <c r="AC1362" s="116"/>
      <c r="AD1362" s="116"/>
      <c r="AE1362" s="116"/>
      <c r="AF1362" s="116"/>
      <c r="AG1362" s="116"/>
      <c r="AH1362" s="116"/>
      <c r="AI1362" s="116"/>
    </row>
    <row r="1363" spans="27:35" ht="18">
      <c r="AA1363" s="116"/>
      <c r="AB1363" s="184"/>
      <c r="AC1363" s="116"/>
      <c r="AD1363" s="116"/>
      <c r="AE1363" s="116"/>
      <c r="AF1363" s="116"/>
      <c r="AG1363" s="116"/>
      <c r="AH1363" s="116"/>
      <c r="AI1363" s="116"/>
    </row>
    <row r="1364" spans="27:35" ht="18">
      <c r="AA1364" s="116"/>
      <c r="AB1364" s="184"/>
      <c r="AC1364" s="116"/>
      <c r="AD1364" s="116"/>
      <c r="AE1364" s="116"/>
      <c r="AF1364" s="116"/>
      <c r="AG1364" s="116"/>
      <c r="AH1364" s="116"/>
      <c r="AI1364" s="116"/>
    </row>
    <row r="1365" spans="27:35" ht="18">
      <c r="AA1365" s="116"/>
      <c r="AB1365" s="184"/>
      <c r="AC1365" s="116"/>
      <c r="AD1365" s="116"/>
      <c r="AE1365" s="116"/>
      <c r="AF1365" s="116"/>
      <c r="AG1365" s="116"/>
      <c r="AH1365" s="116"/>
      <c r="AI1365" s="116"/>
    </row>
    <row r="1366" spans="27:35" ht="18">
      <c r="AA1366" s="116"/>
      <c r="AB1366" s="87"/>
      <c r="AC1366" s="116"/>
      <c r="AD1366" s="116"/>
      <c r="AE1366" s="116"/>
      <c r="AF1366" s="116"/>
      <c r="AG1366" s="116"/>
      <c r="AH1366" s="116"/>
      <c r="AI1366" s="116"/>
    </row>
    <row r="1367" spans="27:35" ht="18">
      <c r="AA1367" s="116"/>
      <c r="AB1367" s="87"/>
      <c r="AC1367" s="116"/>
      <c r="AD1367" s="116"/>
      <c r="AE1367" s="116"/>
      <c r="AF1367" s="116"/>
      <c r="AG1367" s="116"/>
      <c r="AH1367" s="116"/>
      <c r="AI1367" s="116"/>
    </row>
    <row r="1368" spans="27:35" ht="18">
      <c r="AA1368" s="116"/>
      <c r="AB1368" s="184"/>
      <c r="AC1368" s="116"/>
      <c r="AD1368" s="116"/>
      <c r="AE1368" s="116"/>
      <c r="AF1368" s="116"/>
      <c r="AG1368" s="116"/>
      <c r="AH1368" s="116"/>
      <c r="AI1368" s="116"/>
    </row>
    <row r="1369" spans="27:35" ht="18">
      <c r="AA1369" s="116"/>
      <c r="AB1369" s="87"/>
      <c r="AC1369" s="116"/>
      <c r="AD1369" s="116"/>
      <c r="AE1369" s="116"/>
      <c r="AF1369" s="116"/>
      <c r="AG1369" s="116"/>
      <c r="AH1369" s="116"/>
      <c r="AI1369" s="116"/>
    </row>
    <row r="1370" spans="27:35" ht="18">
      <c r="AA1370" s="116"/>
      <c r="AB1370" s="87"/>
      <c r="AC1370" s="116"/>
      <c r="AD1370" s="116"/>
      <c r="AE1370" s="116"/>
      <c r="AF1370" s="116"/>
      <c r="AG1370" s="116"/>
      <c r="AH1370" s="116"/>
      <c r="AI1370" s="116"/>
    </row>
    <row r="1371" spans="27:35" ht="18">
      <c r="AA1371" s="116"/>
      <c r="AB1371" s="184"/>
      <c r="AC1371" s="116"/>
      <c r="AD1371" s="116"/>
      <c r="AE1371" s="116"/>
      <c r="AF1371" s="116"/>
      <c r="AG1371" s="116"/>
      <c r="AH1371" s="116"/>
      <c r="AI1371" s="116"/>
    </row>
    <row r="1372" spans="27:35" ht="18">
      <c r="AA1372" s="116"/>
      <c r="AB1372" s="184"/>
      <c r="AC1372" s="116"/>
      <c r="AD1372" s="116"/>
      <c r="AE1372" s="116"/>
      <c r="AF1372" s="116"/>
      <c r="AG1372" s="116"/>
      <c r="AH1372" s="116"/>
      <c r="AI1372" s="116"/>
    </row>
    <row r="1373" spans="27:35" ht="18">
      <c r="AA1373" s="116"/>
      <c r="AB1373" s="87"/>
      <c r="AC1373" s="116"/>
      <c r="AD1373" s="116"/>
      <c r="AE1373" s="116"/>
      <c r="AF1373" s="116"/>
      <c r="AG1373" s="116"/>
      <c r="AH1373" s="116"/>
      <c r="AI1373" s="116"/>
    </row>
    <row r="1374" spans="27:35" ht="18">
      <c r="AA1374" s="116"/>
      <c r="AB1374" s="87"/>
      <c r="AC1374" s="116"/>
      <c r="AD1374" s="116"/>
      <c r="AE1374" s="116"/>
      <c r="AF1374" s="116"/>
      <c r="AG1374" s="116"/>
      <c r="AH1374" s="116"/>
      <c r="AI1374" s="116"/>
    </row>
    <row r="1375" spans="27:35" ht="18">
      <c r="AA1375" s="116"/>
      <c r="AB1375" s="184"/>
      <c r="AC1375" s="116"/>
      <c r="AD1375" s="116"/>
      <c r="AE1375" s="116"/>
      <c r="AF1375" s="116"/>
      <c r="AG1375" s="116"/>
      <c r="AH1375" s="116"/>
      <c r="AI1375" s="116"/>
    </row>
    <row r="1376" spans="27:35" ht="18">
      <c r="AA1376" s="116"/>
      <c r="AB1376" s="87"/>
      <c r="AC1376" s="116"/>
      <c r="AD1376" s="116"/>
      <c r="AE1376" s="116"/>
      <c r="AF1376" s="116"/>
      <c r="AG1376" s="116"/>
      <c r="AH1376" s="116"/>
      <c r="AI1376" s="116"/>
    </row>
    <row r="1377" spans="27:35" ht="18">
      <c r="AA1377" s="116"/>
      <c r="AB1377" s="87"/>
      <c r="AC1377" s="116"/>
      <c r="AD1377" s="116"/>
      <c r="AE1377" s="116"/>
      <c r="AF1377" s="116"/>
      <c r="AG1377" s="116"/>
      <c r="AH1377" s="116"/>
      <c r="AI1377" s="116"/>
    </row>
    <row r="1378" spans="27:35" ht="18">
      <c r="AA1378" s="116"/>
      <c r="AB1378" s="184"/>
      <c r="AC1378" s="116"/>
      <c r="AD1378" s="116"/>
      <c r="AE1378" s="116"/>
      <c r="AF1378" s="116"/>
      <c r="AG1378" s="116"/>
      <c r="AH1378" s="116"/>
      <c r="AI1378" s="116"/>
    </row>
    <row r="1379" spans="27:35" ht="18">
      <c r="AA1379" s="116"/>
      <c r="AB1379" s="87"/>
      <c r="AC1379" s="116"/>
      <c r="AD1379" s="116"/>
      <c r="AE1379" s="116"/>
      <c r="AF1379" s="116"/>
      <c r="AG1379" s="116"/>
      <c r="AH1379" s="116"/>
      <c r="AI1379" s="116"/>
    </row>
    <row r="1380" spans="27:35" ht="18">
      <c r="AA1380" s="116"/>
      <c r="AB1380" s="87"/>
      <c r="AC1380" s="116"/>
      <c r="AD1380" s="116"/>
      <c r="AE1380" s="116"/>
      <c r="AF1380" s="116"/>
      <c r="AG1380" s="116"/>
      <c r="AH1380" s="116"/>
      <c r="AI1380" s="116"/>
    </row>
    <row r="1381" spans="27:35" ht="18">
      <c r="AA1381" s="116"/>
      <c r="AB1381" s="87"/>
      <c r="AC1381" s="116"/>
      <c r="AD1381" s="116"/>
      <c r="AE1381" s="116"/>
      <c r="AF1381" s="116"/>
      <c r="AG1381" s="116"/>
      <c r="AH1381" s="116"/>
      <c r="AI1381" s="116"/>
    </row>
    <row r="1382" spans="27:35" ht="18">
      <c r="AA1382" s="116"/>
      <c r="AB1382" s="87"/>
      <c r="AC1382" s="116"/>
      <c r="AD1382" s="116"/>
      <c r="AE1382" s="116"/>
      <c r="AF1382" s="116"/>
      <c r="AG1382" s="116"/>
      <c r="AH1382" s="116"/>
      <c r="AI1382" s="116"/>
    </row>
    <row r="1383" spans="27:35" ht="18">
      <c r="AA1383" s="116"/>
      <c r="AB1383" s="87"/>
      <c r="AC1383" s="116"/>
      <c r="AD1383" s="116"/>
      <c r="AE1383" s="116"/>
      <c r="AF1383" s="116"/>
      <c r="AG1383" s="116"/>
      <c r="AH1383" s="116"/>
      <c r="AI1383" s="116"/>
    </row>
    <row r="1384" spans="27:35" ht="18">
      <c r="AA1384" s="116"/>
      <c r="AB1384" s="184"/>
      <c r="AC1384" s="116"/>
      <c r="AD1384" s="116"/>
      <c r="AE1384" s="116"/>
      <c r="AF1384" s="116"/>
      <c r="AG1384" s="116"/>
      <c r="AH1384" s="116"/>
      <c r="AI1384" s="116"/>
    </row>
    <row r="1385" spans="27:35" ht="18">
      <c r="AA1385" s="116"/>
      <c r="AB1385" s="87"/>
      <c r="AC1385" s="116"/>
      <c r="AD1385" s="116"/>
      <c r="AE1385" s="116"/>
      <c r="AF1385" s="116"/>
      <c r="AG1385" s="116"/>
      <c r="AH1385" s="116"/>
      <c r="AI1385" s="116"/>
    </row>
    <row r="1386" spans="27:35" ht="18">
      <c r="AA1386" s="116"/>
      <c r="AB1386" s="87"/>
      <c r="AC1386" s="116"/>
      <c r="AD1386" s="116"/>
      <c r="AE1386" s="116"/>
      <c r="AF1386" s="116"/>
      <c r="AG1386" s="116"/>
      <c r="AH1386" s="116"/>
      <c r="AI1386" s="116"/>
    </row>
    <row r="1387" spans="27:35" ht="18">
      <c r="AA1387" s="116"/>
      <c r="AB1387" s="184"/>
      <c r="AC1387" s="116"/>
      <c r="AD1387" s="116"/>
      <c r="AE1387" s="116"/>
      <c r="AF1387" s="116"/>
      <c r="AG1387" s="116"/>
      <c r="AH1387" s="116"/>
      <c r="AI1387" s="116"/>
    </row>
    <row r="1388" spans="27:35" ht="18">
      <c r="AA1388" s="116"/>
      <c r="AB1388" s="87"/>
      <c r="AC1388" s="116"/>
      <c r="AD1388" s="116"/>
      <c r="AE1388" s="116"/>
      <c r="AF1388" s="116"/>
      <c r="AG1388" s="116"/>
      <c r="AH1388" s="116"/>
      <c r="AI1388" s="116"/>
    </row>
    <row r="1389" spans="27:35" ht="18">
      <c r="AA1389" s="116"/>
      <c r="AB1389" s="87"/>
      <c r="AC1389" s="116"/>
      <c r="AD1389" s="116"/>
      <c r="AE1389" s="116"/>
      <c r="AF1389" s="116"/>
      <c r="AG1389" s="116"/>
      <c r="AH1389" s="116"/>
      <c r="AI1389" s="116"/>
    </row>
    <row r="1390" spans="27:35" ht="18">
      <c r="AA1390" s="116"/>
      <c r="AB1390" s="87"/>
      <c r="AC1390" s="116"/>
      <c r="AD1390" s="116"/>
      <c r="AE1390" s="116"/>
      <c r="AF1390" s="116"/>
      <c r="AG1390" s="116"/>
      <c r="AH1390" s="116"/>
      <c r="AI1390" s="116"/>
    </row>
    <row r="1391" spans="27:35" ht="18">
      <c r="AA1391" s="116"/>
      <c r="AB1391" s="87"/>
      <c r="AC1391" s="116"/>
      <c r="AD1391" s="116"/>
      <c r="AE1391" s="116"/>
      <c r="AF1391" s="116"/>
      <c r="AG1391" s="116"/>
      <c r="AH1391" s="116"/>
      <c r="AI1391" s="116"/>
    </row>
    <row r="1392" spans="27:35" ht="18">
      <c r="AA1392" s="116"/>
      <c r="AB1392" s="87"/>
      <c r="AC1392" s="116"/>
      <c r="AD1392" s="116"/>
      <c r="AE1392" s="116"/>
      <c r="AF1392" s="116"/>
      <c r="AG1392" s="116"/>
      <c r="AH1392" s="116"/>
      <c r="AI1392" s="116"/>
    </row>
    <row r="1393" spans="27:35" ht="18">
      <c r="AA1393" s="116"/>
      <c r="AB1393" s="184"/>
      <c r="AC1393" s="116"/>
      <c r="AD1393" s="116"/>
      <c r="AE1393" s="116"/>
      <c r="AF1393" s="116"/>
      <c r="AG1393" s="116"/>
      <c r="AH1393" s="116"/>
      <c r="AI1393" s="116"/>
    </row>
    <row r="1394" spans="27:35" ht="18">
      <c r="AA1394" s="116"/>
      <c r="AB1394" s="184"/>
      <c r="AC1394" s="116"/>
      <c r="AD1394" s="116"/>
      <c r="AE1394" s="116"/>
      <c r="AF1394" s="116"/>
      <c r="AG1394" s="116"/>
      <c r="AH1394" s="116"/>
      <c r="AI1394" s="116"/>
    </row>
    <row r="1395" spans="27:35" ht="18">
      <c r="AA1395" s="116"/>
      <c r="AB1395" s="87"/>
      <c r="AC1395" s="116"/>
      <c r="AD1395" s="116"/>
      <c r="AE1395" s="116"/>
      <c r="AF1395" s="116"/>
      <c r="AG1395" s="116"/>
      <c r="AH1395" s="116"/>
      <c r="AI1395" s="116"/>
    </row>
    <row r="1396" spans="27:35" ht="18">
      <c r="AA1396" s="116"/>
      <c r="AB1396" s="87"/>
      <c r="AC1396" s="116"/>
      <c r="AD1396" s="116"/>
      <c r="AE1396" s="116"/>
      <c r="AF1396" s="116"/>
      <c r="AG1396" s="116"/>
      <c r="AH1396" s="116"/>
      <c r="AI1396" s="116"/>
    </row>
    <row r="1397" spans="27:35" ht="18">
      <c r="AA1397" s="116"/>
      <c r="AB1397" s="87"/>
      <c r="AC1397" s="116"/>
      <c r="AD1397" s="116"/>
      <c r="AE1397" s="117"/>
      <c r="AF1397" s="116"/>
      <c r="AG1397" s="116"/>
      <c r="AH1397" s="116"/>
      <c r="AI1397" s="116"/>
    </row>
    <row r="1398" spans="27:35" ht="18">
      <c r="AA1398" s="116"/>
      <c r="AB1398" s="87"/>
      <c r="AC1398" s="116"/>
      <c r="AD1398" s="116"/>
      <c r="AE1398" s="117"/>
      <c r="AF1398" s="116"/>
      <c r="AG1398" s="116"/>
      <c r="AH1398" s="116"/>
      <c r="AI1398" s="116"/>
    </row>
    <row r="1399" spans="27:35" ht="18">
      <c r="AA1399" s="116"/>
      <c r="AB1399" s="87"/>
      <c r="AC1399" s="116"/>
      <c r="AD1399" s="116"/>
      <c r="AE1399" s="117"/>
      <c r="AF1399" s="116"/>
      <c r="AG1399" s="116"/>
      <c r="AH1399" s="116"/>
      <c r="AI1399" s="116"/>
    </row>
    <row r="1400" spans="27:35" ht="18">
      <c r="AA1400" s="116"/>
      <c r="AB1400" s="184"/>
      <c r="AC1400" s="116"/>
      <c r="AD1400" s="116"/>
      <c r="AE1400" s="116"/>
      <c r="AF1400" s="116"/>
      <c r="AG1400" s="116"/>
      <c r="AH1400" s="116"/>
      <c r="AI1400" s="116"/>
    </row>
    <row r="1401" spans="27:35" ht="18">
      <c r="AA1401" s="116"/>
      <c r="AB1401" s="184"/>
      <c r="AC1401" s="116"/>
      <c r="AD1401" s="116"/>
      <c r="AE1401" s="116"/>
      <c r="AF1401" s="116"/>
      <c r="AG1401" s="116"/>
      <c r="AH1401" s="116"/>
      <c r="AI1401" s="116"/>
    </row>
    <row r="1402" spans="27:35" ht="18">
      <c r="AA1402" s="116"/>
      <c r="AB1402" s="184"/>
      <c r="AC1402" s="116"/>
      <c r="AD1402" s="116"/>
      <c r="AE1402" s="116"/>
      <c r="AF1402" s="116"/>
      <c r="AG1402" s="116"/>
      <c r="AH1402" s="116"/>
      <c r="AI1402" s="116"/>
    </row>
    <row r="1403" spans="27:35" ht="18">
      <c r="AA1403" s="116"/>
      <c r="AB1403" s="87"/>
      <c r="AC1403" s="116"/>
      <c r="AD1403" s="116"/>
      <c r="AE1403" s="116"/>
      <c r="AF1403" s="116"/>
      <c r="AG1403" s="116"/>
      <c r="AH1403" s="116"/>
      <c r="AI1403" s="116"/>
    </row>
    <row r="1404" spans="27:35" ht="18">
      <c r="AA1404" s="116"/>
      <c r="AB1404" s="87"/>
      <c r="AC1404" s="116"/>
      <c r="AD1404" s="116"/>
      <c r="AE1404" s="116"/>
      <c r="AF1404" s="116"/>
      <c r="AG1404" s="116"/>
      <c r="AH1404" s="116"/>
      <c r="AI1404" s="116"/>
    </row>
    <row r="1405" spans="27:35" ht="18">
      <c r="AA1405" s="116"/>
      <c r="AB1405" s="87"/>
      <c r="AC1405" s="116"/>
      <c r="AD1405" s="116"/>
      <c r="AE1405" s="116"/>
      <c r="AF1405" s="116"/>
      <c r="AG1405" s="116"/>
      <c r="AH1405" s="116"/>
      <c r="AI1405" s="116"/>
    </row>
    <row r="1406" spans="27:35" ht="18">
      <c r="AA1406" s="116"/>
      <c r="AB1406" s="87"/>
      <c r="AC1406" s="116"/>
      <c r="AD1406" s="116"/>
      <c r="AE1406" s="116"/>
      <c r="AF1406" s="116"/>
      <c r="AG1406" s="116"/>
      <c r="AH1406" s="116"/>
      <c r="AI1406" s="116"/>
    </row>
    <row r="1407" spans="27:35" ht="18">
      <c r="AA1407" s="116"/>
      <c r="AB1407" s="87"/>
      <c r="AC1407" s="116"/>
      <c r="AD1407" s="116"/>
      <c r="AE1407" s="116"/>
      <c r="AF1407" s="116"/>
      <c r="AG1407" s="116"/>
      <c r="AH1407" s="116"/>
      <c r="AI1407" s="116"/>
    </row>
    <row r="1408" spans="27:35" ht="18">
      <c r="AA1408" s="116"/>
      <c r="AB1408" s="87"/>
      <c r="AC1408" s="116"/>
      <c r="AD1408" s="116"/>
      <c r="AE1408" s="116"/>
      <c r="AF1408" s="116"/>
      <c r="AG1408" s="116"/>
      <c r="AH1408" s="116"/>
      <c r="AI1408" s="116"/>
    </row>
    <row r="1409" spans="27:35" ht="18">
      <c r="AA1409" s="116"/>
      <c r="AB1409" s="87"/>
      <c r="AC1409" s="116"/>
      <c r="AD1409" s="116"/>
      <c r="AE1409" s="116"/>
      <c r="AF1409" s="116"/>
      <c r="AG1409" s="116"/>
      <c r="AH1409" s="116"/>
      <c r="AI1409" s="116"/>
    </row>
    <row r="1410" spans="27:35" ht="18">
      <c r="AA1410" s="116"/>
      <c r="AB1410" s="184"/>
      <c r="AC1410" s="116"/>
      <c r="AD1410" s="116"/>
      <c r="AE1410" s="116"/>
      <c r="AF1410" s="116"/>
      <c r="AG1410" s="116"/>
      <c r="AH1410" s="116"/>
      <c r="AI1410" s="116"/>
    </row>
    <row r="1411" spans="27:35" ht="18">
      <c r="AA1411" s="116"/>
      <c r="AB1411" s="87"/>
      <c r="AC1411" s="116"/>
      <c r="AD1411" s="116"/>
      <c r="AE1411" s="116"/>
      <c r="AF1411" s="116"/>
      <c r="AG1411" s="116"/>
      <c r="AH1411" s="116"/>
      <c r="AI1411" s="116"/>
    </row>
    <row r="1412" spans="27:35" ht="18">
      <c r="AA1412" s="116"/>
      <c r="AB1412" s="87"/>
      <c r="AC1412" s="116"/>
      <c r="AD1412" s="116"/>
      <c r="AE1412" s="116"/>
      <c r="AF1412" s="116"/>
      <c r="AG1412" s="116"/>
      <c r="AH1412" s="116"/>
      <c r="AI1412" s="116"/>
    </row>
    <row r="1413" spans="27:35" ht="18">
      <c r="AA1413" s="116"/>
      <c r="AB1413" s="184"/>
      <c r="AC1413" s="116"/>
      <c r="AD1413" s="116"/>
      <c r="AE1413" s="116"/>
      <c r="AF1413" s="116"/>
      <c r="AG1413" s="116"/>
      <c r="AH1413" s="116"/>
      <c r="AI1413" s="116"/>
    </row>
    <row r="1414" spans="27:35" ht="18">
      <c r="AA1414" s="116"/>
      <c r="AB1414" s="87"/>
      <c r="AC1414" s="116"/>
      <c r="AD1414" s="116"/>
      <c r="AE1414" s="116"/>
      <c r="AF1414" s="116"/>
      <c r="AG1414" s="116"/>
      <c r="AH1414" s="116"/>
      <c r="AI1414" s="116"/>
    </row>
    <row r="1415" spans="27:35" ht="18">
      <c r="AA1415" s="116"/>
      <c r="AB1415" s="87"/>
      <c r="AC1415" s="116"/>
      <c r="AD1415" s="116"/>
      <c r="AE1415" s="116"/>
      <c r="AF1415" s="116"/>
      <c r="AG1415" s="116"/>
      <c r="AH1415" s="116"/>
      <c r="AI1415" s="116"/>
    </row>
    <row r="1416" spans="27:35" ht="18">
      <c r="AA1416" s="116"/>
      <c r="AB1416" s="184"/>
      <c r="AC1416" s="116"/>
      <c r="AD1416" s="116"/>
      <c r="AE1416" s="116"/>
      <c r="AF1416" s="116"/>
      <c r="AG1416" s="116"/>
      <c r="AH1416" s="116"/>
      <c r="AI1416" s="116"/>
    </row>
    <row r="1417" spans="27:35" ht="18">
      <c r="AA1417" s="116"/>
      <c r="AB1417" s="87"/>
      <c r="AC1417" s="116"/>
      <c r="AD1417" s="116"/>
      <c r="AE1417" s="116"/>
      <c r="AF1417" s="116"/>
      <c r="AG1417" s="116"/>
      <c r="AH1417" s="116"/>
      <c r="AI1417" s="116"/>
    </row>
    <row r="1418" spans="27:35" ht="18">
      <c r="AA1418" s="116"/>
      <c r="AB1418" s="87"/>
      <c r="AC1418" s="116"/>
      <c r="AD1418" s="116"/>
      <c r="AE1418" s="116"/>
      <c r="AF1418" s="116"/>
      <c r="AG1418" s="116"/>
      <c r="AH1418" s="116"/>
      <c r="AI1418" s="116"/>
    </row>
    <row r="1419" spans="27:35" ht="18">
      <c r="AA1419" s="116"/>
      <c r="AB1419" s="184"/>
      <c r="AC1419" s="116"/>
      <c r="AD1419" s="116"/>
      <c r="AE1419" s="116"/>
      <c r="AF1419" s="116"/>
      <c r="AG1419" s="116"/>
      <c r="AH1419" s="116"/>
      <c r="AI1419" s="116"/>
    </row>
    <row r="1420" spans="27:35" ht="18">
      <c r="AA1420" s="116"/>
      <c r="AB1420" s="87"/>
      <c r="AC1420" s="116"/>
      <c r="AD1420" s="116"/>
      <c r="AE1420" s="116"/>
      <c r="AF1420" s="116"/>
      <c r="AG1420" s="116"/>
      <c r="AH1420" s="116"/>
      <c r="AI1420" s="116"/>
    </row>
    <row r="1421" spans="27:35" ht="18">
      <c r="AA1421" s="116"/>
      <c r="AB1421" s="87"/>
      <c r="AC1421" s="116"/>
      <c r="AD1421" s="116"/>
      <c r="AE1421" s="116"/>
      <c r="AF1421" s="116"/>
      <c r="AG1421" s="116"/>
      <c r="AH1421" s="116"/>
      <c r="AI1421" s="116"/>
    </row>
    <row r="1422" spans="27:35" ht="18">
      <c r="AA1422" s="116"/>
      <c r="AB1422" s="87"/>
      <c r="AC1422" s="116"/>
      <c r="AD1422" s="116"/>
      <c r="AE1422" s="116"/>
      <c r="AF1422" s="116"/>
      <c r="AG1422" s="116"/>
      <c r="AH1422" s="116"/>
      <c r="AI1422" s="116"/>
    </row>
    <row r="1423" spans="27:35" ht="18">
      <c r="AA1423" s="116"/>
      <c r="AB1423" s="184"/>
      <c r="AC1423" s="116"/>
      <c r="AD1423" s="116"/>
      <c r="AE1423" s="116"/>
      <c r="AF1423" s="116"/>
      <c r="AG1423" s="116"/>
      <c r="AH1423" s="116"/>
      <c r="AI1423" s="116"/>
    </row>
    <row r="1424" spans="27:35" ht="18">
      <c r="AA1424" s="116"/>
      <c r="AB1424" s="184"/>
      <c r="AC1424" s="116"/>
      <c r="AD1424" s="116"/>
      <c r="AE1424" s="116"/>
      <c r="AF1424" s="116"/>
      <c r="AG1424" s="116"/>
      <c r="AH1424" s="116"/>
      <c r="AI1424" s="116"/>
    </row>
    <row r="1425" spans="27:35" ht="18">
      <c r="AA1425" s="116"/>
      <c r="AB1425" s="184"/>
      <c r="AC1425" s="116"/>
      <c r="AD1425" s="116"/>
      <c r="AE1425" s="116"/>
      <c r="AF1425" s="116"/>
      <c r="AG1425" s="116"/>
      <c r="AH1425" s="116"/>
      <c r="AI1425" s="116"/>
    </row>
    <row r="1426" spans="27:35" ht="18">
      <c r="AA1426" s="116"/>
      <c r="AB1426" s="87"/>
      <c r="AC1426" s="116"/>
      <c r="AD1426" s="116"/>
      <c r="AE1426" s="116"/>
      <c r="AF1426" s="116"/>
      <c r="AG1426" s="116"/>
      <c r="AH1426" s="116"/>
      <c r="AI1426" s="116"/>
    </row>
    <row r="1427" spans="27:35" ht="18">
      <c r="AA1427" s="116"/>
      <c r="AB1427" s="87"/>
      <c r="AC1427" s="116"/>
      <c r="AD1427" s="116"/>
      <c r="AE1427" s="116"/>
      <c r="AF1427" s="116"/>
      <c r="AG1427" s="116"/>
      <c r="AH1427" s="116"/>
      <c r="AI1427" s="116"/>
    </row>
    <row r="1428" spans="27:35" ht="18">
      <c r="AA1428" s="116"/>
      <c r="AB1428" s="184"/>
      <c r="AC1428" s="116"/>
      <c r="AD1428" s="116"/>
      <c r="AE1428" s="116"/>
      <c r="AF1428" s="116"/>
      <c r="AG1428" s="116"/>
      <c r="AH1428" s="116"/>
      <c r="AI1428" s="116"/>
    </row>
    <row r="1429" spans="27:35" ht="18">
      <c r="AA1429" s="116"/>
      <c r="AB1429" s="184"/>
      <c r="AC1429" s="116"/>
      <c r="AD1429" s="116"/>
      <c r="AE1429" s="116"/>
      <c r="AF1429" s="116"/>
      <c r="AG1429" s="116"/>
      <c r="AH1429" s="116"/>
      <c r="AI1429" s="116"/>
    </row>
    <row r="1430" spans="27:35" ht="18">
      <c r="AA1430" s="116"/>
      <c r="AB1430" s="87"/>
      <c r="AC1430" s="116"/>
      <c r="AD1430" s="116"/>
      <c r="AE1430" s="116"/>
      <c r="AF1430" s="116"/>
      <c r="AG1430" s="116"/>
      <c r="AH1430" s="116"/>
      <c r="AI1430" s="116"/>
    </row>
    <row r="1431" spans="27:35" ht="18">
      <c r="AA1431" s="116"/>
      <c r="AB1431" s="87"/>
      <c r="AC1431" s="116"/>
      <c r="AD1431" s="116"/>
      <c r="AE1431" s="116"/>
      <c r="AF1431" s="116"/>
      <c r="AG1431" s="116"/>
      <c r="AH1431" s="116"/>
      <c r="AI1431" s="116"/>
    </row>
    <row r="1432" spans="27:35" ht="18">
      <c r="AA1432" s="116"/>
      <c r="AB1432" s="184"/>
      <c r="AC1432" s="116"/>
      <c r="AD1432" s="116"/>
      <c r="AE1432" s="116"/>
      <c r="AF1432" s="116"/>
      <c r="AG1432" s="116"/>
      <c r="AH1432" s="116"/>
      <c r="AI1432" s="116"/>
    </row>
    <row r="1433" spans="27:35" ht="18">
      <c r="AA1433" s="116"/>
      <c r="AB1433" s="87"/>
      <c r="AC1433" s="116"/>
      <c r="AD1433" s="116"/>
      <c r="AE1433" s="116"/>
      <c r="AF1433" s="116"/>
      <c r="AG1433" s="116"/>
      <c r="AH1433" s="116"/>
      <c r="AI1433" s="116"/>
    </row>
    <row r="1434" spans="27:35" ht="18">
      <c r="AA1434" s="116"/>
      <c r="AB1434" s="87"/>
      <c r="AC1434" s="116"/>
      <c r="AD1434" s="116"/>
      <c r="AE1434" s="116"/>
      <c r="AF1434" s="116"/>
      <c r="AG1434" s="116"/>
      <c r="AH1434" s="116"/>
      <c r="AI1434" s="116"/>
    </row>
    <row r="1435" spans="27:35" ht="18">
      <c r="AA1435" s="116"/>
      <c r="AB1435" s="184"/>
      <c r="AC1435" s="116"/>
      <c r="AD1435" s="116"/>
      <c r="AE1435" s="116"/>
      <c r="AF1435" s="116"/>
      <c r="AG1435" s="116"/>
      <c r="AH1435" s="116"/>
      <c r="AI1435" s="116"/>
    </row>
    <row r="1436" spans="27:35" ht="18">
      <c r="AA1436" s="116"/>
      <c r="AB1436" s="87"/>
      <c r="AC1436" s="116"/>
      <c r="AD1436" s="116"/>
      <c r="AE1436" s="116"/>
      <c r="AF1436" s="116"/>
      <c r="AG1436" s="116"/>
      <c r="AH1436" s="116"/>
      <c r="AI1436" s="116"/>
    </row>
    <row r="1437" spans="27:35" ht="18">
      <c r="AA1437" s="116"/>
      <c r="AB1437" s="87"/>
      <c r="AC1437" s="116"/>
      <c r="AD1437" s="116"/>
      <c r="AE1437" s="116"/>
      <c r="AF1437" s="116"/>
      <c r="AG1437" s="116"/>
      <c r="AH1437" s="116"/>
      <c r="AI1437" s="116"/>
    </row>
    <row r="1438" spans="27:35" ht="18">
      <c r="AA1438" s="116"/>
      <c r="AB1438" s="184"/>
      <c r="AC1438" s="116"/>
      <c r="AD1438" s="116"/>
      <c r="AE1438" s="116"/>
      <c r="AF1438" s="116"/>
      <c r="AG1438" s="116"/>
      <c r="AH1438" s="116"/>
      <c r="AI1438" s="116"/>
    </row>
    <row r="1439" spans="27:35" ht="18">
      <c r="AA1439" s="116"/>
      <c r="AB1439" s="87"/>
      <c r="AC1439" s="116"/>
      <c r="AD1439" s="116"/>
      <c r="AE1439" s="116"/>
      <c r="AF1439" s="116"/>
      <c r="AG1439" s="116"/>
      <c r="AH1439" s="116"/>
      <c r="AI1439" s="116"/>
    </row>
    <row r="1440" spans="27:35" ht="18">
      <c r="AA1440" s="116"/>
      <c r="AB1440" s="87"/>
      <c r="AC1440" s="116"/>
      <c r="AD1440" s="116"/>
      <c r="AE1440" s="116"/>
      <c r="AF1440" s="116"/>
      <c r="AG1440" s="116"/>
      <c r="AH1440" s="116"/>
      <c r="AI1440" s="116"/>
    </row>
    <row r="1441" spans="27:35" ht="18">
      <c r="AA1441" s="116"/>
      <c r="AB1441" s="87"/>
      <c r="AC1441" s="116"/>
      <c r="AD1441" s="116"/>
      <c r="AE1441" s="116"/>
      <c r="AF1441" s="116"/>
      <c r="AG1441" s="116"/>
      <c r="AH1441" s="116"/>
      <c r="AI1441" s="116"/>
    </row>
    <row r="1442" spans="27:35" ht="18">
      <c r="AA1442" s="116"/>
      <c r="AB1442" s="87"/>
      <c r="AC1442" s="116"/>
      <c r="AD1442" s="116"/>
      <c r="AE1442" s="116"/>
      <c r="AF1442" s="116"/>
      <c r="AG1442" s="116"/>
      <c r="AH1442" s="116"/>
      <c r="AI1442" s="116"/>
    </row>
    <row r="1443" spans="27:35" ht="18">
      <c r="AA1443" s="116"/>
      <c r="AB1443" s="184"/>
      <c r="AC1443" s="116"/>
      <c r="AD1443" s="116"/>
      <c r="AE1443" s="116"/>
      <c r="AF1443" s="116"/>
      <c r="AG1443" s="116"/>
      <c r="AH1443" s="116"/>
      <c r="AI1443" s="116"/>
    </row>
    <row r="1444" spans="27:35" ht="18">
      <c r="AA1444" s="116"/>
      <c r="AB1444" s="87"/>
      <c r="AC1444" s="116"/>
      <c r="AD1444" s="116"/>
      <c r="AE1444" s="116"/>
      <c r="AF1444" s="116"/>
      <c r="AG1444" s="116"/>
      <c r="AH1444" s="116"/>
      <c r="AI1444" s="116"/>
    </row>
    <row r="1445" spans="27:35" ht="18">
      <c r="AA1445" s="116"/>
      <c r="AB1445" s="87"/>
      <c r="AC1445" s="116"/>
      <c r="AD1445" s="116"/>
      <c r="AE1445" s="116"/>
      <c r="AF1445" s="116"/>
      <c r="AG1445" s="116"/>
      <c r="AH1445" s="116"/>
      <c r="AI1445" s="116"/>
    </row>
    <row r="1446" spans="27:35" ht="18">
      <c r="AA1446" s="116"/>
      <c r="AB1446" s="184"/>
      <c r="AC1446" s="116"/>
      <c r="AD1446" s="116"/>
      <c r="AE1446" s="116"/>
      <c r="AF1446" s="116"/>
      <c r="AG1446" s="116"/>
      <c r="AH1446" s="116"/>
      <c r="AI1446" s="116"/>
    </row>
    <row r="1447" spans="27:35" ht="18">
      <c r="AA1447" s="116"/>
      <c r="AB1447" s="87"/>
      <c r="AC1447" s="116"/>
      <c r="AD1447" s="116"/>
      <c r="AE1447" s="116"/>
      <c r="AF1447" s="116"/>
      <c r="AG1447" s="116"/>
      <c r="AH1447" s="116"/>
      <c r="AI1447" s="116"/>
    </row>
    <row r="1448" spans="27:35" ht="18">
      <c r="AA1448" s="116"/>
      <c r="AB1448" s="87"/>
      <c r="AC1448" s="116"/>
      <c r="AD1448" s="116"/>
      <c r="AE1448" s="116"/>
      <c r="AF1448" s="116"/>
      <c r="AG1448" s="116"/>
      <c r="AH1448" s="116"/>
      <c r="AI1448" s="116"/>
    </row>
    <row r="1449" spans="27:35" ht="18">
      <c r="AA1449" s="116"/>
      <c r="AB1449" s="184"/>
      <c r="AC1449" s="116"/>
      <c r="AD1449" s="116"/>
      <c r="AE1449" s="116"/>
      <c r="AF1449" s="116"/>
      <c r="AG1449" s="116"/>
      <c r="AH1449" s="116"/>
      <c r="AI1449" s="116"/>
    </row>
    <row r="1450" spans="27:35" ht="18">
      <c r="AA1450" s="116"/>
      <c r="AB1450" s="87"/>
      <c r="AC1450" s="116"/>
      <c r="AD1450" s="116"/>
      <c r="AE1450" s="116"/>
      <c r="AF1450" s="116"/>
      <c r="AG1450" s="116"/>
      <c r="AH1450" s="116"/>
      <c r="AI1450" s="116"/>
    </row>
    <row r="1451" spans="27:35" ht="18">
      <c r="AA1451" s="116"/>
      <c r="AB1451" s="87"/>
      <c r="AC1451" s="116"/>
      <c r="AD1451" s="116"/>
      <c r="AE1451" s="116"/>
      <c r="AF1451" s="116"/>
      <c r="AG1451" s="116"/>
      <c r="AH1451" s="116"/>
      <c r="AI1451" s="116"/>
    </row>
    <row r="1452" spans="27:35" ht="18">
      <c r="AA1452" s="116"/>
      <c r="AB1452" s="184"/>
      <c r="AC1452" s="116"/>
      <c r="AD1452" s="116"/>
      <c r="AE1452" s="116"/>
      <c r="AF1452" s="116"/>
      <c r="AG1452" s="116"/>
      <c r="AH1452" s="116"/>
      <c r="AI1452" s="116"/>
    </row>
    <row r="1453" spans="27:35" ht="18">
      <c r="AA1453" s="116"/>
      <c r="AB1453" s="87"/>
      <c r="AC1453" s="116"/>
      <c r="AD1453" s="116"/>
      <c r="AE1453" s="116"/>
      <c r="AF1453" s="116"/>
      <c r="AG1453" s="116"/>
      <c r="AH1453" s="116"/>
      <c r="AI1453" s="116"/>
    </row>
    <row r="1454" spans="27:35" ht="18">
      <c r="AA1454" s="116"/>
      <c r="AB1454" s="87"/>
      <c r="AC1454" s="116"/>
      <c r="AD1454" s="116"/>
      <c r="AE1454" s="116"/>
      <c r="AF1454" s="116"/>
      <c r="AG1454" s="116"/>
      <c r="AH1454" s="116"/>
      <c r="AI1454" s="116"/>
    </row>
    <row r="1455" spans="27:35" ht="18">
      <c r="AA1455" s="116"/>
      <c r="AB1455" s="184"/>
      <c r="AC1455" s="116"/>
      <c r="AD1455" s="116"/>
      <c r="AE1455" s="116"/>
      <c r="AF1455" s="116"/>
      <c r="AG1455" s="116"/>
      <c r="AH1455" s="116"/>
      <c r="AI1455" s="116"/>
    </row>
    <row r="1456" spans="27:35" ht="18">
      <c r="AA1456" s="116"/>
      <c r="AB1456" s="87"/>
      <c r="AC1456" s="116"/>
      <c r="AD1456" s="116"/>
      <c r="AE1456" s="116"/>
      <c r="AF1456" s="116"/>
      <c r="AG1456" s="116"/>
      <c r="AH1456" s="116"/>
      <c r="AI1456" s="116"/>
    </row>
    <row r="1457" spans="27:35" ht="18">
      <c r="AA1457" s="116"/>
      <c r="AB1457" s="87"/>
      <c r="AC1457" s="116"/>
      <c r="AD1457" s="116"/>
      <c r="AE1457" s="116"/>
      <c r="AF1457" s="116"/>
      <c r="AG1457" s="116"/>
      <c r="AH1457" s="116"/>
      <c r="AI1457" s="116"/>
    </row>
    <row r="1458" spans="27:35" ht="18">
      <c r="AA1458" s="116"/>
      <c r="AB1458" s="87"/>
      <c r="AC1458" s="116"/>
      <c r="AD1458" s="116"/>
      <c r="AE1458" s="116"/>
      <c r="AF1458" s="116"/>
      <c r="AG1458" s="116"/>
      <c r="AH1458" s="116"/>
      <c r="AI1458" s="116"/>
    </row>
    <row r="1459" spans="27:35" ht="18">
      <c r="AA1459" s="116"/>
      <c r="AB1459" s="87"/>
      <c r="AC1459" s="116"/>
      <c r="AD1459" s="116"/>
      <c r="AE1459" s="116"/>
      <c r="AF1459" s="116"/>
      <c r="AG1459" s="116"/>
      <c r="AH1459" s="116"/>
      <c r="AI1459" s="116"/>
    </row>
    <row r="1460" spans="27:35" ht="18">
      <c r="AA1460" s="116"/>
      <c r="AB1460" s="184"/>
      <c r="AC1460" s="116"/>
      <c r="AD1460" s="116"/>
      <c r="AE1460" s="116"/>
      <c r="AF1460" s="116"/>
      <c r="AG1460" s="116"/>
      <c r="AH1460" s="116"/>
      <c r="AI1460" s="116"/>
    </row>
    <row r="1461" spans="27:35" ht="18">
      <c r="AA1461" s="116"/>
      <c r="AB1461" s="87"/>
      <c r="AC1461" s="116"/>
      <c r="AD1461" s="116"/>
      <c r="AE1461" s="116"/>
      <c r="AF1461" s="116"/>
      <c r="AG1461" s="116"/>
      <c r="AH1461" s="116"/>
      <c r="AI1461" s="116"/>
    </row>
    <row r="1462" spans="27:35" ht="18">
      <c r="AA1462" s="116"/>
      <c r="AB1462" s="87"/>
      <c r="AC1462" s="116"/>
      <c r="AD1462" s="116"/>
      <c r="AE1462" s="116"/>
      <c r="AF1462" s="116"/>
      <c r="AG1462" s="116"/>
      <c r="AH1462" s="116"/>
      <c r="AI1462" s="116"/>
    </row>
    <row r="1463" spans="27:35" ht="18">
      <c r="AA1463" s="116"/>
      <c r="AB1463" s="87"/>
      <c r="AC1463" s="116"/>
      <c r="AD1463" s="116"/>
      <c r="AE1463" s="116"/>
      <c r="AF1463" s="116"/>
      <c r="AG1463" s="116"/>
      <c r="AH1463" s="116"/>
      <c r="AI1463" s="116"/>
    </row>
    <row r="1464" spans="27:35" ht="18">
      <c r="AA1464" s="116"/>
      <c r="AB1464" s="87"/>
      <c r="AC1464" s="116"/>
      <c r="AD1464" s="116"/>
      <c r="AE1464" s="116"/>
      <c r="AF1464" s="116"/>
      <c r="AG1464" s="116"/>
      <c r="AH1464" s="116"/>
      <c r="AI1464" s="116"/>
    </row>
    <row r="1465" spans="27:35" ht="18">
      <c r="AA1465" s="116"/>
      <c r="AB1465" s="87"/>
      <c r="AC1465" s="116"/>
      <c r="AD1465" s="116"/>
      <c r="AE1465" s="116"/>
      <c r="AF1465" s="116"/>
      <c r="AG1465" s="116"/>
      <c r="AH1465" s="116"/>
      <c r="AI1465" s="116"/>
    </row>
    <row r="1466" spans="27:35" ht="18">
      <c r="AA1466" s="116"/>
      <c r="AB1466" s="87"/>
      <c r="AC1466" s="116"/>
      <c r="AD1466" s="116"/>
      <c r="AE1466" s="116"/>
      <c r="AF1466" s="116"/>
      <c r="AG1466" s="116"/>
      <c r="AH1466" s="116"/>
      <c r="AI1466" s="116"/>
    </row>
    <row r="1467" spans="27:35" ht="18">
      <c r="AA1467" s="116"/>
      <c r="AB1467" s="87"/>
      <c r="AC1467" s="116"/>
      <c r="AD1467" s="116"/>
      <c r="AE1467" s="116"/>
      <c r="AF1467" s="116"/>
      <c r="AG1467" s="116"/>
      <c r="AH1467" s="116"/>
      <c r="AI1467" s="116"/>
    </row>
    <row r="1468" spans="27:35" ht="18">
      <c r="AA1468" s="116"/>
      <c r="AB1468" s="87"/>
      <c r="AC1468" s="116"/>
      <c r="AD1468" s="116"/>
      <c r="AE1468" s="116"/>
      <c r="AF1468" s="116"/>
      <c r="AG1468" s="116"/>
      <c r="AH1468" s="116"/>
      <c r="AI1468" s="116"/>
    </row>
    <row r="1469" spans="27:35" ht="18">
      <c r="AA1469" s="116"/>
      <c r="AB1469" s="87"/>
      <c r="AC1469" s="116"/>
      <c r="AD1469" s="116"/>
      <c r="AE1469" s="116"/>
      <c r="AF1469" s="116"/>
      <c r="AG1469" s="116"/>
      <c r="AH1469" s="116"/>
      <c r="AI1469" s="116"/>
    </row>
    <row r="1470" spans="27:35" ht="18">
      <c r="AA1470" s="116"/>
      <c r="AB1470" s="87"/>
      <c r="AC1470" s="116"/>
      <c r="AD1470" s="116"/>
      <c r="AE1470" s="116"/>
      <c r="AF1470" s="116"/>
      <c r="AG1470" s="116"/>
      <c r="AH1470" s="116"/>
      <c r="AI1470" s="116"/>
    </row>
    <row r="1471" spans="27:35" ht="18">
      <c r="AA1471" s="116"/>
      <c r="AB1471" s="87"/>
      <c r="AC1471" s="116"/>
      <c r="AD1471" s="116"/>
      <c r="AE1471" s="116"/>
      <c r="AF1471" s="116"/>
      <c r="AG1471" s="116"/>
      <c r="AH1471" s="116"/>
      <c r="AI1471" s="116"/>
    </row>
    <row r="1472" spans="27:35" ht="18">
      <c r="AA1472" s="116"/>
      <c r="AB1472" s="87"/>
      <c r="AC1472" s="116"/>
      <c r="AD1472" s="116"/>
      <c r="AE1472" s="116"/>
      <c r="AF1472" s="116"/>
      <c r="AG1472" s="116"/>
      <c r="AH1472" s="116"/>
      <c r="AI1472" s="116"/>
    </row>
    <row r="1473" spans="27:35" ht="18">
      <c r="AA1473" s="116"/>
      <c r="AB1473" s="87"/>
      <c r="AC1473" s="116"/>
      <c r="AD1473" s="116"/>
      <c r="AE1473" s="116"/>
      <c r="AF1473" s="116"/>
      <c r="AG1473" s="116"/>
      <c r="AH1473" s="116"/>
      <c r="AI1473" s="116"/>
    </row>
    <row r="1474" spans="27:35" ht="18">
      <c r="AA1474" s="116"/>
      <c r="AB1474" s="87"/>
      <c r="AC1474" s="116"/>
      <c r="AD1474" s="116"/>
      <c r="AE1474" s="116"/>
      <c r="AF1474" s="116"/>
      <c r="AG1474" s="116"/>
      <c r="AH1474" s="116"/>
      <c r="AI1474" s="116"/>
    </row>
    <row r="1475" spans="27:35" ht="18">
      <c r="AA1475" s="116"/>
      <c r="AB1475" s="87"/>
      <c r="AC1475" s="116"/>
      <c r="AD1475" s="116"/>
      <c r="AE1475" s="116"/>
      <c r="AF1475" s="116"/>
      <c r="AG1475" s="116"/>
      <c r="AH1475" s="116"/>
      <c r="AI1475" s="116"/>
    </row>
    <row r="1476" spans="27:35" ht="18">
      <c r="AA1476" s="116"/>
      <c r="AB1476" s="87"/>
      <c r="AC1476" s="116"/>
      <c r="AD1476" s="116"/>
      <c r="AE1476" s="116"/>
      <c r="AF1476" s="116"/>
      <c r="AG1476" s="116"/>
      <c r="AH1476" s="116"/>
      <c r="AI1476" s="116"/>
    </row>
    <row r="1477" spans="27:35" ht="18">
      <c r="AA1477" s="116"/>
      <c r="AB1477" s="87"/>
      <c r="AC1477" s="116"/>
      <c r="AD1477" s="116"/>
      <c r="AE1477" s="116"/>
      <c r="AF1477" s="116"/>
      <c r="AG1477" s="116"/>
      <c r="AH1477" s="116"/>
      <c r="AI1477" s="116"/>
    </row>
    <row r="1478" spans="27:35" ht="18">
      <c r="AA1478" s="116"/>
      <c r="AB1478" s="87"/>
      <c r="AC1478" s="116"/>
      <c r="AD1478" s="116"/>
      <c r="AE1478" s="116"/>
      <c r="AF1478" s="116"/>
      <c r="AG1478" s="116"/>
      <c r="AH1478" s="116"/>
      <c r="AI1478" s="116"/>
    </row>
    <row r="1479" spans="27:35" ht="18">
      <c r="AA1479" s="116"/>
      <c r="AB1479" s="87"/>
      <c r="AC1479" s="116"/>
      <c r="AD1479" s="116"/>
      <c r="AE1479" s="116"/>
      <c r="AF1479" s="116"/>
      <c r="AG1479" s="116"/>
      <c r="AH1479" s="116"/>
      <c r="AI1479" s="116"/>
    </row>
    <row r="1480" spans="27:35" ht="18">
      <c r="AA1480" s="116"/>
      <c r="AB1480" s="184"/>
      <c r="AC1480" s="116"/>
      <c r="AD1480" s="116"/>
      <c r="AE1480" s="116"/>
      <c r="AF1480" s="116"/>
      <c r="AG1480" s="116"/>
      <c r="AH1480" s="116"/>
      <c r="AI1480" s="116"/>
    </row>
    <row r="1481" spans="27:35" ht="18">
      <c r="AA1481" s="116"/>
      <c r="AB1481" s="184"/>
      <c r="AC1481" s="116"/>
      <c r="AD1481" s="116"/>
      <c r="AE1481" s="116"/>
      <c r="AF1481" s="116"/>
      <c r="AG1481" s="116"/>
      <c r="AH1481" s="116"/>
      <c r="AI1481" s="116"/>
    </row>
    <row r="1482" spans="27:35" ht="18">
      <c r="AA1482" s="116"/>
      <c r="AB1482" s="87"/>
      <c r="AC1482" s="116"/>
      <c r="AD1482" s="116"/>
      <c r="AE1482" s="116"/>
      <c r="AF1482" s="116"/>
      <c r="AG1482" s="116"/>
      <c r="AH1482" s="116"/>
      <c r="AI1482" s="116"/>
    </row>
    <row r="1483" spans="27:35" ht="18">
      <c r="AA1483" s="116"/>
      <c r="AB1483" s="87"/>
      <c r="AC1483" s="116"/>
      <c r="AD1483" s="116"/>
      <c r="AE1483" s="116"/>
      <c r="AF1483" s="116"/>
      <c r="AG1483" s="116"/>
      <c r="AH1483" s="116"/>
      <c r="AI1483" s="116"/>
    </row>
    <row r="1484" spans="27:35" ht="18">
      <c r="AA1484" s="116"/>
      <c r="AB1484" s="87"/>
      <c r="AC1484" s="116"/>
      <c r="AD1484" s="116"/>
      <c r="AE1484" s="116"/>
      <c r="AF1484" s="116"/>
      <c r="AG1484" s="116"/>
      <c r="AH1484" s="116"/>
      <c r="AI1484" s="116"/>
    </row>
    <row r="1485" spans="27:35" ht="18">
      <c r="AA1485" s="116"/>
      <c r="AB1485" s="87"/>
      <c r="AC1485" s="116"/>
      <c r="AD1485" s="116"/>
      <c r="AE1485" s="116"/>
      <c r="AF1485" s="116"/>
      <c r="AG1485" s="116"/>
      <c r="AH1485" s="116"/>
      <c r="AI1485" s="116"/>
    </row>
    <row r="1486" spans="27:35" ht="18">
      <c r="AA1486" s="116"/>
      <c r="AB1486" s="87"/>
      <c r="AC1486" s="116"/>
      <c r="AD1486" s="116"/>
      <c r="AE1486" s="116"/>
      <c r="AF1486" s="116"/>
      <c r="AG1486" s="116"/>
      <c r="AH1486" s="116"/>
      <c r="AI1486" s="116"/>
    </row>
    <row r="1487" spans="27:35" ht="18">
      <c r="AA1487" s="116"/>
      <c r="AB1487" s="87"/>
      <c r="AC1487" s="116"/>
      <c r="AD1487" s="116"/>
      <c r="AE1487" s="116"/>
      <c r="AF1487" s="116"/>
      <c r="AG1487" s="116"/>
      <c r="AH1487" s="116"/>
      <c r="AI1487" s="116"/>
    </row>
    <row r="1488" spans="27:35" ht="18">
      <c r="AA1488" s="116"/>
      <c r="AB1488" s="87"/>
      <c r="AC1488" s="116"/>
      <c r="AD1488" s="116"/>
      <c r="AE1488" s="116"/>
      <c r="AF1488" s="116"/>
      <c r="AG1488" s="116"/>
      <c r="AH1488" s="116"/>
      <c r="AI1488" s="116"/>
    </row>
    <row r="1489" spans="27:35" ht="18">
      <c r="AA1489" s="116"/>
      <c r="AB1489" s="87"/>
      <c r="AC1489" s="116"/>
      <c r="AD1489" s="116"/>
      <c r="AE1489" s="116"/>
      <c r="AF1489" s="116"/>
      <c r="AG1489" s="116"/>
      <c r="AH1489" s="116"/>
      <c r="AI1489" s="116"/>
    </row>
    <row r="1490" spans="27:35" ht="18">
      <c r="AA1490" s="116"/>
      <c r="AB1490" s="87"/>
      <c r="AC1490" s="116"/>
      <c r="AD1490" s="116"/>
      <c r="AE1490" s="116"/>
      <c r="AF1490" s="116"/>
      <c r="AG1490" s="116"/>
      <c r="AH1490" s="116"/>
      <c r="AI1490" s="116"/>
    </row>
    <row r="1491" spans="27:35" ht="18">
      <c r="AA1491" s="116"/>
      <c r="AB1491" s="184"/>
      <c r="AC1491" s="116"/>
      <c r="AD1491" s="116"/>
      <c r="AE1491" s="116"/>
      <c r="AF1491" s="116"/>
      <c r="AG1491" s="116"/>
      <c r="AH1491" s="116"/>
      <c r="AI1491" s="116"/>
    </row>
    <row r="1492" spans="27:35" ht="18">
      <c r="AA1492" s="116"/>
      <c r="AB1492" s="184"/>
      <c r="AC1492" s="116"/>
      <c r="AD1492" s="116"/>
      <c r="AE1492" s="116"/>
      <c r="AF1492" s="116"/>
      <c r="AG1492" s="116"/>
      <c r="AH1492" s="116"/>
      <c r="AI1492" s="116"/>
    </row>
    <row r="1493" spans="27:35" ht="18">
      <c r="AA1493" s="116"/>
      <c r="AB1493" s="87"/>
      <c r="AC1493" s="116"/>
      <c r="AD1493" s="116"/>
      <c r="AE1493" s="116"/>
      <c r="AF1493" s="116"/>
      <c r="AG1493" s="116"/>
      <c r="AH1493" s="116"/>
      <c r="AI1493" s="116"/>
    </row>
    <row r="1494" spans="27:35" ht="18">
      <c r="AA1494" s="116"/>
      <c r="AB1494" s="87"/>
      <c r="AC1494" s="116"/>
      <c r="AD1494" s="116"/>
      <c r="AE1494" s="116"/>
      <c r="AF1494" s="116"/>
      <c r="AG1494" s="116"/>
      <c r="AH1494" s="116"/>
      <c r="AI1494" s="116"/>
    </row>
    <row r="1495" spans="27:35" ht="18">
      <c r="AA1495" s="116"/>
      <c r="AB1495" s="87"/>
      <c r="AC1495" s="116"/>
      <c r="AD1495" s="116"/>
      <c r="AE1495" s="116"/>
      <c r="AF1495" s="116"/>
      <c r="AG1495" s="116"/>
      <c r="AH1495" s="116"/>
      <c r="AI1495" s="116"/>
    </row>
    <row r="1496" spans="27:35" ht="18">
      <c r="AA1496" s="116"/>
      <c r="AB1496" s="184"/>
      <c r="AC1496" s="116"/>
      <c r="AD1496" s="116"/>
      <c r="AE1496" s="116"/>
      <c r="AF1496" s="116"/>
      <c r="AG1496" s="116"/>
      <c r="AH1496" s="116"/>
      <c r="AI1496" s="116"/>
    </row>
    <row r="1497" spans="27:35" ht="18">
      <c r="AA1497" s="116"/>
      <c r="AB1497" s="87"/>
      <c r="AC1497" s="116"/>
      <c r="AD1497" s="116"/>
      <c r="AE1497" s="116"/>
      <c r="AF1497" s="116"/>
      <c r="AG1497" s="116"/>
      <c r="AH1497" s="116"/>
      <c r="AI1497" s="116"/>
    </row>
    <row r="1498" spans="27:35" ht="18">
      <c r="AA1498" s="116"/>
      <c r="AB1498" s="87"/>
      <c r="AC1498" s="116"/>
      <c r="AD1498" s="116"/>
      <c r="AE1498" s="116"/>
      <c r="AF1498" s="116"/>
      <c r="AG1498" s="116"/>
      <c r="AH1498" s="116"/>
      <c r="AI1498" s="116"/>
    </row>
    <row r="1499" spans="27:35" ht="18">
      <c r="AA1499" s="116"/>
      <c r="AB1499" s="87"/>
      <c r="AC1499" s="116"/>
      <c r="AD1499" s="116"/>
      <c r="AE1499" s="116"/>
      <c r="AF1499" s="116"/>
      <c r="AG1499" s="116"/>
      <c r="AH1499" s="116"/>
      <c r="AI1499" s="116"/>
    </row>
    <row r="1500" spans="27:35" ht="18">
      <c r="AA1500" s="116"/>
      <c r="AB1500" s="184"/>
      <c r="AC1500" s="116"/>
      <c r="AD1500" s="116"/>
      <c r="AE1500" s="116"/>
      <c r="AF1500" s="116"/>
      <c r="AG1500" s="116"/>
      <c r="AH1500" s="116"/>
      <c r="AI1500" s="116"/>
    </row>
    <row r="1501" spans="27:35" ht="18">
      <c r="AA1501" s="116"/>
      <c r="AB1501" s="184"/>
      <c r="AC1501" s="116"/>
      <c r="AD1501" s="116"/>
      <c r="AE1501" s="116"/>
      <c r="AF1501" s="116"/>
      <c r="AG1501" s="116"/>
      <c r="AH1501" s="116"/>
      <c r="AI1501" s="116"/>
    </row>
    <row r="1502" spans="27:35" ht="18">
      <c r="AA1502" s="116"/>
      <c r="AB1502" s="87"/>
      <c r="AC1502" s="116"/>
      <c r="AD1502" s="116"/>
      <c r="AE1502" s="116"/>
      <c r="AF1502" s="116"/>
      <c r="AG1502" s="116"/>
      <c r="AH1502" s="116"/>
      <c r="AI1502" s="116"/>
    </row>
    <row r="1503" spans="27:35" ht="18">
      <c r="AA1503" s="116"/>
      <c r="AB1503" s="87"/>
      <c r="AC1503" s="116"/>
      <c r="AD1503" s="116"/>
      <c r="AE1503" s="116"/>
      <c r="AF1503" s="116"/>
      <c r="AG1503" s="116"/>
      <c r="AH1503" s="116"/>
      <c r="AI1503" s="116"/>
    </row>
    <row r="1504" spans="27:35" ht="18">
      <c r="AA1504" s="116"/>
      <c r="AB1504" s="87"/>
      <c r="AC1504" s="116"/>
      <c r="AD1504" s="116"/>
      <c r="AE1504" s="116"/>
      <c r="AF1504" s="116"/>
      <c r="AG1504" s="116"/>
      <c r="AH1504" s="116"/>
      <c r="AI1504" s="116"/>
    </row>
    <row r="1505" spans="27:35" ht="18">
      <c r="AA1505" s="116"/>
      <c r="AB1505" s="87"/>
      <c r="AC1505" s="116"/>
      <c r="AD1505" s="116"/>
      <c r="AE1505" s="116"/>
      <c r="AF1505" s="116"/>
      <c r="AG1505" s="116"/>
      <c r="AH1505" s="116"/>
      <c r="AI1505" s="116"/>
    </row>
    <row r="1506" spans="27:35" ht="18">
      <c r="AA1506" s="116"/>
      <c r="AB1506" s="87"/>
      <c r="AC1506" s="116"/>
      <c r="AD1506" s="116"/>
      <c r="AE1506" s="116"/>
      <c r="AF1506" s="116"/>
      <c r="AG1506" s="116"/>
      <c r="AH1506" s="116"/>
      <c r="AI1506" s="116"/>
    </row>
    <row r="1507" spans="27:35" ht="18">
      <c r="AA1507" s="116"/>
      <c r="AB1507" s="87"/>
      <c r="AC1507" s="116"/>
      <c r="AD1507" s="116"/>
      <c r="AE1507" s="116"/>
      <c r="AF1507" s="116"/>
      <c r="AG1507" s="116"/>
      <c r="AH1507" s="116"/>
      <c r="AI1507" s="116"/>
    </row>
    <row r="1508" spans="27:35" ht="18">
      <c r="AA1508" s="116"/>
      <c r="AB1508" s="87"/>
      <c r="AC1508" s="116"/>
      <c r="AD1508" s="116"/>
      <c r="AE1508" s="116"/>
      <c r="AF1508" s="116"/>
      <c r="AG1508" s="116"/>
      <c r="AH1508" s="116"/>
      <c r="AI1508" s="116"/>
    </row>
    <row r="1509" spans="27:35" ht="18">
      <c r="AA1509" s="116"/>
      <c r="AB1509" s="87"/>
      <c r="AC1509" s="116"/>
      <c r="AD1509" s="116"/>
      <c r="AE1509" s="116"/>
      <c r="AF1509" s="116"/>
      <c r="AG1509" s="116"/>
      <c r="AH1509" s="116"/>
      <c r="AI1509" s="116"/>
    </row>
    <row r="1510" spans="27:35" ht="18">
      <c r="AA1510" s="116"/>
      <c r="AB1510" s="87"/>
      <c r="AC1510" s="116"/>
      <c r="AD1510" s="116"/>
      <c r="AE1510" s="116"/>
      <c r="AF1510" s="116"/>
      <c r="AG1510" s="116"/>
      <c r="AH1510" s="116"/>
      <c r="AI1510" s="116"/>
    </row>
    <row r="1511" spans="27:35" ht="18">
      <c r="AA1511" s="116"/>
      <c r="AB1511" s="87"/>
      <c r="AC1511" s="116"/>
      <c r="AD1511" s="116"/>
      <c r="AE1511" s="116"/>
      <c r="AF1511" s="116"/>
      <c r="AG1511" s="116"/>
      <c r="AH1511" s="116"/>
      <c r="AI1511" s="116"/>
    </row>
    <row r="1512" spans="27:35" ht="18">
      <c r="AA1512" s="116"/>
      <c r="AB1512" s="87"/>
      <c r="AC1512" s="116"/>
      <c r="AD1512" s="116"/>
      <c r="AE1512" s="116"/>
      <c r="AF1512" s="116"/>
      <c r="AG1512" s="116"/>
      <c r="AH1512" s="116"/>
      <c r="AI1512" s="116"/>
    </row>
    <row r="1513" spans="27:35" ht="18">
      <c r="AA1513" s="116"/>
      <c r="AB1513" s="87"/>
      <c r="AC1513" s="116"/>
      <c r="AD1513" s="116"/>
      <c r="AE1513" s="116"/>
      <c r="AF1513" s="116"/>
      <c r="AG1513" s="116"/>
      <c r="AH1513" s="116"/>
      <c r="AI1513" s="116"/>
    </row>
    <row r="1514" spans="27:35" ht="18">
      <c r="AA1514" s="116"/>
      <c r="AB1514" s="87"/>
      <c r="AC1514" s="116"/>
      <c r="AD1514" s="116"/>
      <c r="AE1514" s="116"/>
      <c r="AF1514" s="116"/>
      <c r="AG1514" s="116"/>
      <c r="AH1514" s="116"/>
      <c r="AI1514" s="116"/>
    </row>
    <row r="1515" spans="27:35" ht="18">
      <c r="AA1515" s="116"/>
      <c r="AB1515" s="87"/>
      <c r="AC1515" s="116"/>
      <c r="AD1515" s="116"/>
      <c r="AE1515" s="116"/>
      <c r="AF1515" s="116"/>
      <c r="AG1515" s="116"/>
      <c r="AH1515" s="116"/>
      <c r="AI1515" s="116"/>
    </row>
    <row r="1516" spans="27:35" ht="18">
      <c r="AA1516" s="116"/>
      <c r="AB1516" s="87"/>
      <c r="AC1516" s="116"/>
      <c r="AD1516" s="116"/>
      <c r="AE1516" s="116"/>
      <c r="AF1516" s="116"/>
      <c r="AG1516" s="116"/>
      <c r="AH1516" s="116"/>
      <c r="AI1516" s="116"/>
    </row>
    <row r="1517" spans="27:35" ht="18">
      <c r="AA1517" s="116"/>
      <c r="AB1517" s="87"/>
      <c r="AC1517" s="116"/>
      <c r="AD1517" s="116"/>
      <c r="AE1517" s="116"/>
      <c r="AF1517" s="116"/>
      <c r="AG1517" s="116"/>
      <c r="AH1517" s="116"/>
      <c r="AI1517" s="116"/>
    </row>
    <row r="1518" spans="27:35" ht="18">
      <c r="AA1518" s="116"/>
      <c r="AB1518" s="87"/>
      <c r="AC1518" s="116"/>
      <c r="AD1518" s="116"/>
      <c r="AE1518" s="116"/>
      <c r="AF1518" s="116"/>
      <c r="AG1518" s="116"/>
      <c r="AH1518" s="116"/>
      <c r="AI1518" s="116"/>
    </row>
    <row r="1519" spans="27:35" ht="18">
      <c r="AA1519" s="116"/>
      <c r="AB1519" s="184"/>
      <c r="AC1519" s="116"/>
      <c r="AD1519" s="116"/>
      <c r="AE1519" s="116"/>
      <c r="AF1519" s="116"/>
      <c r="AG1519" s="116"/>
      <c r="AH1519" s="116"/>
      <c r="AI1519" s="116"/>
    </row>
    <row r="1520" spans="27:35" ht="18">
      <c r="AA1520" s="116"/>
      <c r="AB1520" s="87"/>
      <c r="AC1520" s="116"/>
      <c r="AD1520" s="116"/>
      <c r="AE1520" s="116"/>
      <c r="AF1520" s="116"/>
      <c r="AG1520" s="116"/>
      <c r="AH1520" s="116"/>
      <c r="AI1520" s="116"/>
    </row>
    <row r="1521" spans="27:35" ht="18">
      <c r="AA1521" s="116"/>
      <c r="AB1521" s="87"/>
      <c r="AC1521" s="116"/>
      <c r="AD1521" s="116"/>
      <c r="AE1521" s="116"/>
      <c r="AF1521" s="116"/>
      <c r="AG1521" s="116"/>
      <c r="AH1521" s="116"/>
      <c r="AI1521" s="116"/>
    </row>
    <row r="1522" spans="27:35" ht="18">
      <c r="AA1522" s="116"/>
      <c r="AB1522" s="87"/>
      <c r="AC1522" s="116"/>
      <c r="AD1522" s="116"/>
      <c r="AE1522" s="116"/>
      <c r="AF1522" s="116"/>
      <c r="AG1522" s="116"/>
      <c r="AH1522" s="116"/>
      <c r="AI1522" s="116"/>
    </row>
    <row r="1523" spans="27:35" ht="18">
      <c r="AA1523" s="116"/>
      <c r="AB1523" s="87"/>
      <c r="AC1523" s="116"/>
      <c r="AD1523" s="116"/>
      <c r="AE1523" s="116"/>
      <c r="AF1523" s="116"/>
      <c r="AG1523" s="116"/>
      <c r="AH1523" s="116"/>
      <c r="AI1523" s="116"/>
    </row>
    <row r="1524" spans="27:35" ht="18">
      <c r="AA1524" s="116"/>
      <c r="AB1524" s="184"/>
      <c r="AC1524" s="116"/>
      <c r="AD1524" s="116"/>
      <c r="AE1524" s="116"/>
      <c r="AF1524" s="116"/>
      <c r="AG1524" s="116"/>
      <c r="AH1524" s="116"/>
      <c r="AI1524" s="116"/>
    </row>
    <row r="1525" spans="27:35" ht="18">
      <c r="AA1525" s="116"/>
      <c r="AB1525" s="184"/>
      <c r="AC1525" s="116"/>
      <c r="AD1525" s="116"/>
      <c r="AE1525" s="116"/>
      <c r="AF1525" s="116"/>
      <c r="AG1525" s="116"/>
      <c r="AH1525" s="116"/>
      <c r="AI1525" s="116"/>
    </row>
    <row r="1526" spans="27:35" ht="18">
      <c r="AA1526" s="116"/>
      <c r="AB1526" s="87"/>
      <c r="AC1526" s="116"/>
      <c r="AD1526" s="116"/>
      <c r="AE1526" s="116"/>
      <c r="AF1526" s="116"/>
      <c r="AG1526" s="116"/>
      <c r="AH1526" s="116"/>
      <c r="AI1526" s="116"/>
    </row>
    <row r="1527" spans="27:35" ht="18">
      <c r="AA1527" s="116"/>
      <c r="AB1527" s="87"/>
      <c r="AC1527" s="116"/>
      <c r="AD1527" s="116"/>
      <c r="AE1527" s="116"/>
      <c r="AF1527" s="116"/>
      <c r="AG1527" s="116"/>
      <c r="AH1527" s="116"/>
      <c r="AI1527" s="116"/>
    </row>
    <row r="1528" spans="27:35" ht="18">
      <c r="AA1528" s="116"/>
      <c r="AB1528" s="87"/>
      <c r="AC1528" s="116"/>
      <c r="AD1528" s="116"/>
      <c r="AE1528" s="116"/>
      <c r="AF1528" s="116"/>
      <c r="AG1528" s="116"/>
      <c r="AH1528" s="116"/>
      <c r="AI1528" s="116"/>
    </row>
    <row r="1529" spans="27:35" ht="18">
      <c r="AA1529" s="116"/>
      <c r="AB1529" s="87"/>
      <c r="AC1529" s="116"/>
      <c r="AD1529" s="116"/>
      <c r="AE1529" s="116"/>
      <c r="AF1529" s="116"/>
      <c r="AG1529" s="116"/>
      <c r="AH1529" s="116"/>
      <c r="AI1529" s="116"/>
    </row>
    <row r="1530" spans="27:35" ht="18">
      <c r="AA1530" s="116"/>
      <c r="AB1530" s="87"/>
      <c r="AC1530" s="116"/>
      <c r="AD1530" s="116"/>
      <c r="AE1530" s="116"/>
      <c r="AF1530" s="116"/>
      <c r="AG1530" s="116"/>
      <c r="AH1530" s="116"/>
      <c r="AI1530" s="116"/>
    </row>
    <row r="1531" spans="27:35" ht="18">
      <c r="AA1531" s="116"/>
      <c r="AB1531" s="87"/>
      <c r="AC1531" s="116"/>
      <c r="AD1531" s="116"/>
      <c r="AE1531" s="116"/>
      <c r="AF1531" s="116"/>
      <c r="AG1531" s="116"/>
      <c r="AH1531" s="116"/>
      <c r="AI1531" s="116"/>
    </row>
    <row r="1532" spans="27:35" ht="18">
      <c r="AA1532" s="116"/>
      <c r="AB1532" s="87"/>
      <c r="AC1532" s="116"/>
      <c r="AD1532" s="116"/>
      <c r="AE1532" s="116"/>
      <c r="AF1532" s="116"/>
      <c r="AG1532" s="116"/>
      <c r="AH1532" s="116"/>
      <c r="AI1532" s="116"/>
    </row>
    <row r="1533" spans="27:35" ht="18">
      <c r="AA1533" s="116"/>
      <c r="AB1533" s="87"/>
      <c r="AC1533" s="116"/>
      <c r="AD1533" s="116"/>
      <c r="AE1533" s="116"/>
      <c r="AF1533" s="116"/>
      <c r="AG1533" s="116"/>
      <c r="AH1533" s="116"/>
      <c r="AI1533" s="116"/>
    </row>
    <row r="1534" spans="27:35" ht="18">
      <c r="AA1534" s="116"/>
      <c r="AB1534" s="184"/>
      <c r="AC1534" s="116"/>
      <c r="AD1534" s="116"/>
      <c r="AE1534" s="116"/>
      <c r="AF1534" s="116"/>
      <c r="AG1534" s="116"/>
      <c r="AH1534" s="116"/>
      <c r="AI1534" s="116"/>
    </row>
    <row r="1535" spans="27:35" ht="18">
      <c r="AA1535" s="116"/>
      <c r="AB1535" s="87"/>
      <c r="AC1535" s="116"/>
      <c r="AD1535" s="116"/>
      <c r="AE1535" s="116"/>
      <c r="AF1535" s="116"/>
      <c r="AG1535" s="116"/>
      <c r="AH1535" s="116"/>
      <c r="AI1535" s="116"/>
    </row>
    <row r="1536" spans="27:35" ht="18">
      <c r="AA1536" s="116"/>
      <c r="AB1536" s="87"/>
      <c r="AC1536" s="116"/>
      <c r="AD1536" s="116"/>
      <c r="AE1536" s="116"/>
      <c r="AF1536" s="116"/>
      <c r="AG1536" s="116"/>
      <c r="AH1536" s="116"/>
      <c r="AI1536" s="116"/>
    </row>
    <row r="1537" spans="27:35" ht="18">
      <c r="AA1537" s="116"/>
      <c r="AB1537" s="87"/>
      <c r="AC1537" s="116"/>
      <c r="AD1537" s="116"/>
      <c r="AE1537" s="116"/>
      <c r="AF1537" s="116"/>
      <c r="AG1537" s="116"/>
      <c r="AH1537" s="116"/>
      <c r="AI1537" s="116"/>
    </row>
    <row r="1538" spans="27:35" ht="18">
      <c r="AA1538" s="116"/>
      <c r="AB1538" s="87"/>
      <c r="AC1538" s="116"/>
      <c r="AD1538" s="116"/>
      <c r="AE1538" s="116"/>
      <c r="AF1538" s="116"/>
      <c r="AG1538" s="116"/>
      <c r="AH1538" s="116"/>
      <c r="AI1538" s="116"/>
    </row>
    <row r="1539" spans="27:35" ht="18">
      <c r="AA1539" s="116"/>
      <c r="AB1539" s="87"/>
      <c r="AC1539" s="116"/>
      <c r="AD1539" s="116"/>
      <c r="AE1539" s="116"/>
      <c r="AF1539" s="116"/>
      <c r="AG1539" s="116"/>
      <c r="AH1539" s="116"/>
      <c r="AI1539" s="116"/>
    </row>
    <row r="1540" spans="27:35" ht="18">
      <c r="AA1540" s="116"/>
      <c r="AB1540" s="87"/>
      <c r="AC1540" s="116"/>
      <c r="AD1540" s="116"/>
      <c r="AE1540" s="116"/>
      <c r="AF1540" s="116"/>
      <c r="AG1540" s="116"/>
      <c r="AH1540" s="116"/>
      <c r="AI1540" s="116"/>
    </row>
    <row r="1541" spans="27:35" ht="18">
      <c r="AA1541" s="116"/>
      <c r="AB1541" s="87"/>
      <c r="AC1541" s="116"/>
      <c r="AD1541" s="116"/>
      <c r="AE1541" s="116"/>
      <c r="AF1541" s="116"/>
      <c r="AG1541" s="116"/>
      <c r="AH1541" s="116"/>
      <c r="AI1541" s="116"/>
    </row>
    <row r="1542" spans="27:35" ht="18">
      <c r="AA1542" s="116"/>
      <c r="AB1542" s="87"/>
      <c r="AC1542" s="116"/>
      <c r="AD1542" s="116"/>
      <c r="AE1542" s="116"/>
      <c r="AF1542" s="116"/>
      <c r="AG1542" s="116"/>
      <c r="AH1542" s="116"/>
      <c r="AI1542" s="116"/>
    </row>
    <row r="1543" spans="27:35" ht="18">
      <c r="AA1543" s="116"/>
      <c r="AB1543" s="87"/>
      <c r="AC1543" s="116"/>
      <c r="AD1543" s="116"/>
      <c r="AE1543" s="116"/>
      <c r="AF1543" s="116"/>
      <c r="AG1543" s="116"/>
      <c r="AH1543" s="116"/>
      <c r="AI1543" s="116"/>
    </row>
    <row r="1544" spans="27:35" ht="18">
      <c r="AA1544" s="116"/>
      <c r="AB1544" s="87"/>
      <c r="AC1544" s="116"/>
      <c r="AD1544" s="116"/>
      <c r="AE1544" s="116"/>
      <c r="AF1544" s="116"/>
      <c r="AG1544" s="116"/>
      <c r="AH1544" s="116"/>
      <c r="AI1544" s="116"/>
    </row>
    <row r="1545" spans="27:35" ht="18">
      <c r="AA1545" s="116"/>
      <c r="AB1545" s="87"/>
      <c r="AC1545" s="116"/>
      <c r="AD1545" s="116"/>
      <c r="AE1545" s="116"/>
      <c r="AF1545" s="116"/>
      <c r="AG1545" s="116"/>
      <c r="AH1545" s="116"/>
      <c r="AI1545" s="116"/>
    </row>
    <row r="1546" spans="27:35" ht="18">
      <c r="AA1546" s="116"/>
      <c r="AB1546" s="184"/>
      <c r="AC1546" s="116"/>
      <c r="AD1546" s="116"/>
      <c r="AE1546" s="116"/>
      <c r="AF1546" s="116"/>
      <c r="AG1546" s="116"/>
      <c r="AH1546" s="116"/>
      <c r="AI1546" s="116"/>
    </row>
    <row r="1547" spans="27:35" ht="18">
      <c r="AA1547" s="116"/>
      <c r="AB1547" s="184"/>
      <c r="AC1547" s="116"/>
      <c r="AD1547" s="116"/>
      <c r="AE1547" s="116"/>
      <c r="AF1547" s="116"/>
      <c r="AG1547" s="116"/>
      <c r="AH1547" s="116"/>
      <c r="AI1547" s="116"/>
    </row>
    <row r="1548" spans="27:35" ht="18">
      <c r="AA1548" s="116"/>
      <c r="AB1548" s="87"/>
      <c r="AC1548" s="116"/>
      <c r="AD1548" s="116"/>
      <c r="AE1548" s="116"/>
      <c r="AF1548" s="116"/>
      <c r="AG1548" s="116"/>
      <c r="AH1548" s="116"/>
      <c r="AI1548" s="116"/>
    </row>
    <row r="1549" spans="27:35" ht="18">
      <c r="AA1549" s="116"/>
      <c r="AB1549" s="87"/>
      <c r="AC1549" s="116"/>
      <c r="AD1549" s="116"/>
      <c r="AE1549" s="116"/>
      <c r="AF1549" s="116"/>
      <c r="AG1549" s="116"/>
      <c r="AH1549" s="116"/>
      <c r="AI1549" s="116"/>
    </row>
    <row r="1550" spans="27:35" ht="18">
      <c r="AA1550" s="116"/>
      <c r="AB1550" s="87"/>
      <c r="AC1550" s="116"/>
      <c r="AD1550" s="116"/>
      <c r="AE1550" s="116"/>
      <c r="AF1550" s="116"/>
      <c r="AG1550" s="116"/>
      <c r="AH1550" s="116"/>
      <c r="AI1550" s="116"/>
    </row>
    <row r="1551" spans="27:35" ht="18">
      <c r="AA1551" s="116"/>
      <c r="AB1551" s="184"/>
      <c r="AC1551" s="116"/>
      <c r="AD1551" s="116"/>
      <c r="AE1551" s="116"/>
      <c r="AF1551" s="116"/>
      <c r="AG1551" s="116"/>
      <c r="AH1551" s="116"/>
      <c r="AI1551" s="116"/>
    </row>
    <row r="1552" spans="27:35" ht="18">
      <c r="AA1552" s="116"/>
      <c r="AB1552" s="184"/>
      <c r="AC1552" s="116"/>
      <c r="AD1552" s="116"/>
      <c r="AE1552" s="116"/>
      <c r="AF1552" s="116"/>
      <c r="AG1552" s="116"/>
      <c r="AH1552" s="116"/>
      <c r="AI1552" s="116"/>
    </row>
    <row r="1553" spans="27:35" ht="18">
      <c r="AA1553" s="116"/>
      <c r="AB1553" s="87"/>
      <c r="AC1553" s="116"/>
      <c r="AD1553" s="116"/>
      <c r="AE1553" s="116"/>
      <c r="AF1553" s="116"/>
      <c r="AG1553" s="116"/>
      <c r="AH1553" s="116"/>
      <c r="AI1553" s="116"/>
    </row>
    <row r="1554" spans="27:35" ht="18">
      <c r="AA1554" s="116"/>
      <c r="AB1554" s="87"/>
      <c r="AC1554" s="116"/>
      <c r="AD1554" s="116"/>
      <c r="AE1554" s="116"/>
      <c r="AF1554" s="116"/>
      <c r="AG1554" s="116"/>
      <c r="AH1554" s="116"/>
      <c r="AI1554" s="116"/>
    </row>
    <row r="1555" spans="27:35" ht="18">
      <c r="AA1555" s="116"/>
      <c r="AB1555" s="87"/>
      <c r="AC1555" s="116"/>
      <c r="AD1555" s="116"/>
      <c r="AE1555" s="116"/>
      <c r="AF1555" s="116"/>
      <c r="AG1555" s="116"/>
      <c r="AH1555" s="116"/>
      <c r="AI1555" s="116"/>
    </row>
    <row r="1556" spans="27:35" ht="18">
      <c r="AA1556" s="116"/>
      <c r="AB1556" s="87"/>
      <c r="AC1556" s="116"/>
      <c r="AD1556" s="116"/>
      <c r="AE1556" s="116"/>
      <c r="AF1556" s="116"/>
      <c r="AG1556" s="116"/>
      <c r="AH1556" s="116"/>
      <c r="AI1556" s="116"/>
    </row>
    <row r="1557" spans="27:35" ht="18">
      <c r="AA1557" s="116"/>
      <c r="AB1557" s="87"/>
      <c r="AC1557" s="116"/>
      <c r="AD1557" s="116"/>
      <c r="AE1557" s="116"/>
      <c r="AF1557" s="116"/>
      <c r="AG1557" s="116"/>
      <c r="AH1557" s="116"/>
      <c r="AI1557" s="116"/>
    </row>
    <row r="1558" spans="27:35" ht="18">
      <c r="AA1558" s="116"/>
      <c r="AB1558" s="87"/>
      <c r="AC1558" s="116"/>
      <c r="AD1558" s="116"/>
      <c r="AE1558" s="116"/>
      <c r="AF1558" s="116"/>
      <c r="AG1558" s="116"/>
      <c r="AH1558" s="116"/>
      <c r="AI1558" s="116"/>
    </row>
    <row r="1559" spans="27:35" ht="18">
      <c r="AA1559" s="116"/>
      <c r="AB1559" s="184"/>
      <c r="AC1559" s="116"/>
      <c r="AD1559" s="116"/>
      <c r="AE1559" s="116"/>
      <c r="AF1559" s="116"/>
      <c r="AG1559" s="116"/>
      <c r="AH1559" s="116"/>
      <c r="AI1559" s="116"/>
    </row>
    <row r="1560" spans="27:35" ht="18">
      <c r="AA1560" s="116"/>
      <c r="AB1560" s="184"/>
      <c r="AC1560" s="116"/>
      <c r="AD1560" s="116"/>
      <c r="AE1560" s="116"/>
      <c r="AF1560" s="116"/>
      <c r="AG1560" s="116"/>
      <c r="AH1560" s="116"/>
      <c r="AI1560" s="116"/>
    </row>
    <row r="1561" spans="27:35" ht="18">
      <c r="AA1561" s="116"/>
      <c r="AB1561" s="87"/>
      <c r="AC1561" s="116"/>
      <c r="AD1561" s="116"/>
      <c r="AE1561" s="116"/>
      <c r="AF1561" s="116"/>
      <c r="AG1561" s="116"/>
      <c r="AH1561" s="116"/>
      <c r="AI1561" s="116"/>
    </row>
    <row r="1562" spans="27:35" ht="18">
      <c r="AA1562" s="116"/>
      <c r="AB1562" s="87"/>
      <c r="AC1562" s="116"/>
      <c r="AD1562" s="116"/>
      <c r="AE1562" s="116"/>
      <c r="AF1562" s="116"/>
      <c r="AG1562" s="116"/>
      <c r="AH1562" s="116"/>
      <c r="AI1562" s="116"/>
    </row>
    <row r="1563" spans="27:35" ht="18">
      <c r="AA1563" s="116"/>
      <c r="AB1563" s="87"/>
      <c r="AC1563" s="116"/>
      <c r="AD1563" s="116"/>
      <c r="AE1563" s="116"/>
      <c r="AF1563" s="116"/>
      <c r="AG1563" s="116"/>
      <c r="AH1563" s="116"/>
      <c r="AI1563" s="116"/>
    </row>
    <row r="1564" spans="27:35" ht="18">
      <c r="AA1564" s="116"/>
      <c r="AB1564" s="87"/>
      <c r="AC1564" s="116"/>
      <c r="AD1564" s="116"/>
      <c r="AE1564" s="116"/>
      <c r="AF1564" s="116"/>
      <c r="AG1564" s="116"/>
      <c r="AH1564" s="116"/>
      <c r="AI1564" s="116"/>
    </row>
    <row r="1565" spans="27:35" ht="18">
      <c r="AA1565" s="116"/>
      <c r="AB1565" s="87"/>
      <c r="AC1565" s="116"/>
      <c r="AD1565" s="116"/>
      <c r="AE1565" s="116"/>
      <c r="AF1565" s="116"/>
      <c r="AG1565" s="116"/>
      <c r="AH1565" s="116"/>
      <c r="AI1565" s="116"/>
    </row>
    <row r="1566" spans="27:35" ht="18">
      <c r="AA1566" s="116"/>
      <c r="AB1566" s="87"/>
      <c r="AC1566" s="116"/>
      <c r="AD1566" s="116"/>
      <c r="AE1566" s="116"/>
      <c r="AF1566" s="116"/>
      <c r="AG1566" s="116"/>
      <c r="AH1566" s="116"/>
      <c r="AI1566" s="116"/>
    </row>
    <row r="1567" spans="27:35" ht="18">
      <c r="AA1567" s="116"/>
      <c r="AB1567" s="87"/>
      <c r="AC1567" s="116"/>
      <c r="AD1567" s="116"/>
      <c r="AE1567" s="116"/>
      <c r="AF1567" s="116"/>
      <c r="AG1567" s="116"/>
      <c r="AH1567" s="116"/>
      <c r="AI1567" s="116"/>
    </row>
    <row r="1568" spans="27:35" ht="18">
      <c r="AA1568" s="116"/>
      <c r="AB1568" s="184"/>
      <c r="AC1568" s="116"/>
      <c r="AD1568" s="116"/>
      <c r="AE1568" s="116"/>
      <c r="AF1568" s="116"/>
      <c r="AG1568" s="116"/>
      <c r="AH1568" s="116"/>
      <c r="AI1568" s="116"/>
    </row>
    <row r="1569" spans="27:35" ht="18">
      <c r="AA1569" s="116"/>
      <c r="AB1569" s="184"/>
      <c r="AC1569" s="116"/>
      <c r="AD1569" s="116"/>
      <c r="AE1569" s="116"/>
      <c r="AF1569" s="116"/>
      <c r="AG1569" s="116"/>
      <c r="AH1569" s="116"/>
      <c r="AI1569" s="116"/>
    </row>
    <row r="1570" spans="27:35" ht="18">
      <c r="AA1570" s="116"/>
      <c r="AB1570" s="87"/>
      <c r="AC1570" s="116"/>
      <c r="AD1570" s="116"/>
      <c r="AE1570" s="116"/>
      <c r="AF1570" s="116"/>
      <c r="AG1570" s="116"/>
      <c r="AH1570" s="116"/>
      <c r="AI1570" s="116"/>
    </row>
    <row r="1571" spans="27:35" ht="18">
      <c r="AA1571" s="116"/>
      <c r="AB1571" s="87"/>
      <c r="AC1571" s="116"/>
      <c r="AD1571" s="116"/>
      <c r="AE1571" s="116"/>
      <c r="AF1571" s="116"/>
      <c r="AG1571" s="116"/>
      <c r="AH1571" s="116"/>
      <c r="AI1571" s="116"/>
    </row>
    <row r="1572" spans="27:35" ht="18">
      <c r="AA1572" s="116"/>
      <c r="AB1572" s="87"/>
      <c r="AC1572" s="116"/>
      <c r="AD1572" s="116"/>
      <c r="AE1572" s="116"/>
      <c r="AF1572" s="116"/>
      <c r="AG1572" s="116"/>
      <c r="AH1572" s="116"/>
      <c r="AI1572" s="116"/>
    </row>
    <row r="1573" spans="27:35" ht="18">
      <c r="AA1573" s="116"/>
      <c r="AB1573" s="87"/>
      <c r="AC1573" s="116"/>
      <c r="AD1573" s="116"/>
      <c r="AE1573" s="116"/>
      <c r="AF1573" s="116"/>
      <c r="AG1573" s="116"/>
      <c r="AH1573" s="116"/>
      <c r="AI1573" s="116"/>
    </row>
    <row r="1574" spans="27:35" ht="18">
      <c r="AA1574" s="116"/>
      <c r="AB1574" s="87"/>
      <c r="AC1574" s="116"/>
      <c r="AD1574" s="116"/>
      <c r="AE1574" s="116"/>
      <c r="AF1574" s="116"/>
      <c r="AG1574" s="116"/>
      <c r="AH1574" s="116"/>
      <c r="AI1574" s="116"/>
    </row>
    <row r="1575" spans="27:35" ht="18">
      <c r="AA1575" s="116"/>
      <c r="AB1575" s="87"/>
      <c r="AC1575" s="116"/>
      <c r="AD1575" s="116"/>
      <c r="AE1575" s="116"/>
      <c r="AF1575" s="116"/>
      <c r="AG1575" s="116"/>
      <c r="AH1575" s="116"/>
      <c r="AI1575" s="116"/>
    </row>
    <row r="1576" spans="27:35" ht="18">
      <c r="AA1576" s="116"/>
      <c r="AB1576" s="87"/>
      <c r="AC1576" s="116"/>
      <c r="AD1576" s="116"/>
      <c r="AE1576" s="116"/>
      <c r="AF1576" s="116"/>
      <c r="AG1576" s="116"/>
      <c r="AH1576" s="116"/>
      <c r="AI1576" s="116"/>
    </row>
    <row r="1577" spans="27:35" ht="18">
      <c r="AA1577" s="116"/>
      <c r="AB1577" s="87"/>
      <c r="AC1577" s="116"/>
      <c r="AD1577" s="116"/>
      <c r="AE1577" s="116"/>
      <c r="AF1577" s="116"/>
      <c r="AG1577" s="116"/>
      <c r="AH1577" s="116"/>
      <c r="AI1577" s="116"/>
    </row>
    <row r="1578" spans="27:35" ht="18">
      <c r="AA1578" s="116"/>
      <c r="AB1578" s="87"/>
      <c r="AC1578" s="116"/>
      <c r="AD1578" s="116"/>
      <c r="AE1578" s="116"/>
      <c r="AF1578" s="116"/>
      <c r="AG1578" s="116"/>
      <c r="AH1578" s="116"/>
      <c r="AI1578" s="116"/>
    </row>
    <row r="1579" spans="27:35" ht="18">
      <c r="AA1579" s="116"/>
      <c r="AB1579" s="87"/>
      <c r="AC1579" s="116"/>
      <c r="AD1579" s="116"/>
      <c r="AE1579" s="116"/>
      <c r="AF1579" s="116"/>
      <c r="AG1579" s="116"/>
      <c r="AH1579" s="116"/>
      <c r="AI1579" s="116"/>
    </row>
    <row r="1580" spans="27:35" ht="18">
      <c r="AA1580" s="116"/>
      <c r="AB1580" s="87"/>
      <c r="AC1580" s="116"/>
      <c r="AD1580" s="116"/>
      <c r="AE1580" s="116"/>
      <c r="AF1580" s="116"/>
      <c r="AG1580" s="116"/>
      <c r="AH1580" s="116"/>
      <c r="AI1580" s="116"/>
    </row>
    <row r="1581" spans="27:35" ht="18">
      <c r="AA1581" s="116"/>
      <c r="AB1581" s="87"/>
      <c r="AC1581" s="116"/>
      <c r="AD1581" s="116"/>
      <c r="AE1581" s="116"/>
      <c r="AF1581" s="116"/>
      <c r="AG1581" s="116"/>
      <c r="AH1581" s="116"/>
      <c r="AI1581" s="116"/>
    </row>
    <row r="1582" spans="27:35" ht="18">
      <c r="AA1582" s="116"/>
      <c r="AB1582" s="184"/>
      <c r="AC1582" s="116"/>
      <c r="AD1582" s="116"/>
      <c r="AE1582" s="116"/>
      <c r="AF1582" s="116"/>
      <c r="AG1582" s="116"/>
      <c r="AH1582" s="116"/>
      <c r="AI1582" s="116"/>
    </row>
    <row r="1583" spans="27:35" ht="18">
      <c r="AA1583" s="116"/>
      <c r="AB1583" s="87"/>
      <c r="AC1583" s="116"/>
      <c r="AD1583" s="116"/>
      <c r="AE1583" s="116"/>
      <c r="AF1583" s="116"/>
      <c r="AG1583" s="116"/>
      <c r="AH1583" s="116"/>
      <c r="AI1583" s="116"/>
    </row>
    <row r="1584" spans="27:35" ht="18">
      <c r="AA1584" s="116"/>
      <c r="AB1584" s="87"/>
      <c r="AC1584" s="116"/>
      <c r="AD1584" s="116"/>
      <c r="AE1584" s="116"/>
      <c r="AF1584" s="116"/>
      <c r="AG1584" s="116"/>
      <c r="AH1584" s="116"/>
      <c r="AI1584" s="116"/>
    </row>
    <row r="1585" spans="27:35" ht="18">
      <c r="AA1585" s="116"/>
      <c r="AB1585" s="87"/>
      <c r="AC1585" s="116"/>
      <c r="AD1585" s="116"/>
      <c r="AE1585" s="116"/>
      <c r="AF1585" s="116"/>
      <c r="AG1585" s="116"/>
      <c r="AH1585" s="116"/>
      <c r="AI1585" s="116"/>
    </row>
    <row r="1586" spans="27:35" ht="18">
      <c r="AA1586" s="116"/>
      <c r="AB1586" s="87"/>
      <c r="AC1586" s="116"/>
      <c r="AD1586" s="116"/>
      <c r="AE1586" s="116"/>
      <c r="AF1586" s="116"/>
      <c r="AG1586" s="116"/>
      <c r="AH1586" s="116"/>
      <c r="AI1586" s="116"/>
    </row>
    <row r="1587" spans="27:35" ht="18">
      <c r="AA1587" s="116"/>
      <c r="AB1587" s="87"/>
      <c r="AC1587" s="116"/>
      <c r="AD1587" s="116"/>
      <c r="AE1587" s="116"/>
      <c r="AF1587" s="116"/>
      <c r="AG1587" s="116"/>
      <c r="AH1587" s="116"/>
      <c r="AI1587" s="116"/>
    </row>
    <row r="1588" spans="27:35" ht="18">
      <c r="AA1588" s="116"/>
      <c r="AB1588" s="87"/>
      <c r="AC1588" s="116"/>
      <c r="AD1588" s="116"/>
      <c r="AE1588" s="116"/>
      <c r="AF1588" s="116"/>
      <c r="AG1588" s="116"/>
      <c r="AH1588" s="116"/>
      <c r="AI1588" s="116"/>
    </row>
    <row r="1589" spans="27:35" ht="18">
      <c r="AA1589" s="116"/>
      <c r="AB1589" s="87"/>
      <c r="AC1589" s="116"/>
      <c r="AD1589" s="116"/>
      <c r="AE1589" s="116"/>
      <c r="AF1589" s="116"/>
      <c r="AG1589" s="116"/>
      <c r="AH1589" s="116"/>
      <c r="AI1589" s="116"/>
    </row>
    <row r="1590" spans="27:35" ht="18">
      <c r="AA1590" s="116"/>
      <c r="AB1590" s="87"/>
      <c r="AC1590" s="116"/>
      <c r="AD1590" s="116"/>
      <c r="AE1590" s="116"/>
      <c r="AF1590" s="116"/>
      <c r="AG1590" s="116"/>
      <c r="AH1590" s="116"/>
      <c r="AI1590" s="116"/>
    </row>
    <row r="1591" spans="27:35" ht="18">
      <c r="AA1591" s="116"/>
      <c r="AB1591" s="87"/>
      <c r="AC1591" s="116"/>
      <c r="AD1591" s="116"/>
      <c r="AE1591" s="116"/>
      <c r="AF1591" s="116"/>
      <c r="AG1591" s="116"/>
      <c r="AH1591" s="116"/>
      <c r="AI1591" s="116"/>
    </row>
    <row r="1592" spans="27:35" ht="18">
      <c r="AA1592" s="116"/>
      <c r="AB1592" s="87"/>
      <c r="AC1592" s="116"/>
      <c r="AD1592" s="116"/>
      <c r="AE1592" s="116"/>
      <c r="AF1592" s="116"/>
      <c r="AG1592" s="116"/>
      <c r="AH1592" s="116"/>
      <c r="AI1592" s="116"/>
    </row>
    <row r="1593" spans="27:35" ht="18">
      <c r="AA1593" s="116"/>
      <c r="AB1593" s="87"/>
      <c r="AC1593" s="116"/>
      <c r="AD1593" s="116"/>
      <c r="AE1593" s="116"/>
      <c r="AF1593" s="116"/>
      <c r="AG1593" s="116"/>
      <c r="AH1593" s="116"/>
      <c r="AI1593" s="116"/>
    </row>
    <row r="1594" spans="27:35" ht="18">
      <c r="AA1594" s="116"/>
      <c r="AB1594" s="87"/>
      <c r="AC1594" s="116"/>
      <c r="AD1594" s="116"/>
      <c r="AE1594" s="116"/>
      <c r="AF1594" s="116"/>
      <c r="AG1594" s="116"/>
      <c r="AH1594" s="116"/>
      <c r="AI1594" s="116"/>
    </row>
    <row r="1595" spans="27:35" ht="18">
      <c r="AA1595" s="116"/>
      <c r="AB1595" s="87"/>
      <c r="AC1595" s="116"/>
      <c r="AD1595" s="116"/>
      <c r="AE1595" s="116"/>
      <c r="AF1595" s="116"/>
      <c r="AG1595" s="116"/>
      <c r="AH1595" s="116"/>
      <c r="AI1595" s="116"/>
    </row>
    <row r="1596" spans="27:35" ht="18">
      <c r="AA1596" s="116"/>
      <c r="AB1596" s="87"/>
      <c r="AC1596" s="116"/>
      <c r="AD1596" s="116"/>
      <c r="AE1596" s="116"/>
      <c r="AF1596" s="116"/>
      <c r="AG1596" s="116"/>
      <c r="AH1596" s="116"/>
      <c r="AI1596" s="116"/>
    </row>
    <row r="1597" spans="27:35" ht="18">
      <c r="AA1597" s="116"/>
      <c r="AB1597" s="87"/>
      <c r="AC1597" s="116"/>
      <c r="AD1597" s="116"/>
      <c r="AE1597" s="116"/>
      <c r="AF1597" s="116"/>
      <c r="AG1597" s="116"/>
      <c r="AH1597" s="116"/>
      <c r="AI1597" s="116"/>
    </row>
    <row r="1598" spans="27:35" ht="18">
      <c r="AA1598" s="116"/>
      <c r="AB1598" s="87"/>
      <c r="AC1598" s="116"/>
      <c r="AD1598" s="116"/>
      <c r="AE1598" s="116"/>
      <c r="AF1598" s="116"/>
      <c r="AG1598" s="116"/>
      <c r="AH1598" s="116"/>
      <c r="AI1598" s="116"/>
    </row>
    <row r="1599" spans="27:35" ht="18">
      <c r="AA1599" s="116"/>
      <c r="AB1599" s="87"/>
      <c r="AC1599" s="116"/>
      <c r="AD1599" s="116"/>
      <c r="AE1599" s="116"/>
      <c r="AF1599" s="116"/>
      <c r="AG1599" s="116"/>
      <c r="AH1599" s="116"/>
      <c r="AI1599" s="116"/>
    </row>
    <row r="1600" spans="27:35" ht="18">
      <c r="AA1600" s="116"/>
      <c r="AB1600" s="87"/>
      <c r="AC1600" s="116"/>
      <c r="AD1600" s="116"/>
      <c r="AE1600" s="116"/>
      <c r="AF1600" s="116"/>
      <c r="AG1600" s="116"/>
      <c r="AH1600" s="116"/>
      <c r="AI1600" s="116"/>
    </row>
    <row r="1601" spans="27:35" ht="18">
      <c r="AA1601" s="116"/>
      <c r="AB1601" s="87"/>
      <c r="AC1601" s="116"/>
      <c r="AD1601" s="116"/>
      <c r="AE1601" s="116"/>
      <c r="AF1601" s="116"/>
      <c r="AG1601" s="116"/>
      <c r="AH1601" s="116"/>
      <c r="AI1601" s="116"/>
    </row>
    <row r="1602" spans="27:35" ht="18">
      <c r="AA1602" s="116"/>
      <c r="AB1602" s="87"/>
      <c r="AC1602" s="116"/>
      <c r="AD1602" s="116"/>
      <c r="AE1602" s="116"/>
      <c r="AF1602" s="116"/>
      <c r="AG1602" s="116"/>
      <c r="AH1602" s="116"/>
      <c r="AI1602" s="116"/>
    </row>
    <row r="1603" spans="27:35" ht="18">
      <c r="AA1603" s="116"/>
      <c r="AB1603" s="87"/>
      <c r="AC1603" s="116"/>
      <c r="AD1603" s="116"/>
      <c r="AE1603" s="116"/>
      <c r="AF1603" s="116"/>
      <c r="AG1603" s="116"/>
      <c r="AH1603" s="116"/>
      <c r="AI1603" s="116"/>
    </row>
    <row r="1604" spans="27:35" ht="18">
      <c r="AA1604" s="116"/>
      <c r="AB1604" s="87"/>
      <c r="AC1604" s="116"/>
      <c r="AD1604" s="116"/>
      <c r="AE1604" s="116"/>
      <c r="AF1604" s="116"/>
      <c r="AG1604" s="116"/>
      <c r="AH1604" s="116"/>
      <c r="AI1604" s="116"/>
    </row>
    <row r="1605" spans="27:35" ht="18">
      <c r="AA1605" s="116"/>
      <c r="AB1605" s="87"/>
      <c r="AC1605" s="116"/>
      <c r="AD1605" s="116"/>
      <c r="AE1605" s="116"/>
      <c r="AF1605" s="116"/>
      <c r="AG1605" s="116"/>
      <c r="AH1605" s="116"/>
      <c r="AI1605" s="116"/>
    </row>
    <row r="1606" spans="27:35" ht="18">
      <c r="AA1606" s="116"/>
      <c r="AB1606" s="87"/>
      <c r="AC1606" s="116"/>
      <c r="AD1606" s="116"/>
      <c r="AE1606" s="116"/>
      <c r="AF1606" s="116"/>
      <c r="AG1606" s="116"/>
      <c r="AH1606" s="116"/>
      <c r="AI1606" s="116"/>
    </row>
    <row r="1607" spans="27:35" ht="18">
      <c r="AA1607" s="116"/>
      <c r="AB1607" s="87"/>
      <c r="AC1607" s="116"/>
      <c r="AD1607" s="116"/>
      <c r="AE1607" s="116"/>
      <c r="AF1607" s="116"/>
      <c r="AG1607" s="116"/>
      <c r="AH1607" s="116"/>
      <c r="AI1607" s="116"/>
    </row>
    <row r="1608" spans="27:35" ht="18">
      <c r="AA1608" s="116"/>
      <c r="AB1608" s="87"/>
      <c r="AC1608" s="116"/>
      <c r="AD1608" s="116"/>
      <c r="AE1608" s="116"/>
      <c r="AF1608" s="116"/>
      <c r="AG1608" s="116"/>
      <c r="AH1608" s="116"/>
      <c r="AI1608" s="116"/>
    </row>
    <row r="1609" spans="27:35" ht="18">
      <c r="AA1609" s="116"/>
      <c r="AB1609" s="87"/>
      <c r="AC1609" s="116"/>
      <c r="AD1609" s="116"/>
      <c r="AE1609" s="116"/>
      <c r="AF1609" s="116"/>
      <c r="AG1609" s="116"/>
      <c r="AH1609" s="116"/>
      <c r="AI1609" s="116"/>
    </row>
    <row r="1610" spans="27:35" ht="18">
      <c r="AA1610" s="116"/>
      <c r="AB1610" s="87"/>
      <c r="AC1610" s="116"/>
      <c r="AD1610" s="116"/>
      <c r="AE1610" s="116"/>
      <c r="AF1610" s="116"/>
      <c r="AG1610" s="116"/>
      <c r="AH1610" s="116"/>
      <c r="AI1610" s="116"/>
    </row>
    <row r="1611" spans="27:35" ht="18">
      <c r="AA1611" s="116"/>
      <c r="AB1611" s="87"/>
      <c r="AC1611" s="116"/>
      <c r="AD1611" s="116"/>
      <c r="AE1611" s="116"/>
      <c r="AF1611" s="116"/>
      <c r="AG1611" s="116"/>
      <c r="AH1611" s="116"/>
      <c r="AI1611" s="116"/>
    </row>
    <row r="1612" spans="27:35" ht="18">
      <c r="AA1612" s="116"/>
      <c r="AB1612" s="87"/>
      <c r="AC1612" s="116"/>
      <c r="AD1612" s="116"/>
      <c r="AE1612" s="116"/>
      <c r="AF1612" s="116"/>
      <c r="AG1612" s="116"/>
      <c r="AH1612" s="116"/>
      <c r="AI1612" s="116"/>
    </row>
    <row r="1613" spans="27:35" ht="18">
      <c r="AA1613" s="116"/>
      <c r="AB1613" s="87"/>
      <c r="AC1613" s="116"/>
      <c r="AD1613" s="116"/>
      <c r="AE1613" s="116"/>
      <c r="AF1613" s="116"/>
      <c r="AG1613" s="116"/>
      <c r="AH1613" s="116"/>
      <c r="AI1613" s="116"/>
    </row>
    <row r="1614" spans="27:35" ht="18">
      <c r="AA1614" s="116"/>
      <c r="AB1614" s="87"/>
      <c r="AC1614" s="116"/>
      <c r="AD1614" s="116"/>
      <c r="AE1614" s="116"/>
      <c r="AF1614" s="116"/>
      <c r="AG1614" s="116"/>
      <c r="AH1614" s="116"/>
      <c r="AI1614" s="116"/>
    </row>
    <row r="1615" spans="27:35" ht="18">
      <c r="AA1615" s="116"/>
      <c r="AB1615" s="87"/>
      <c r="AC1615" s="116"/>
      <c r="AD1615" s="116"/>
      <c r="AE1615" s="116"/>
      <c r="AF1615" s="116"/>
      <c r="AG1615" s="116"/>
      <c r="AH1615" s="116"/>
      <c r="AI1615" s="116"/>
    </row>
    <row r="1616" spans="27:35" ht="18">
      <c r="AA1616" s="116"/>
      <c r="AB1616" s="87"/>
      <c r="AC1616" s="116"/>
      <c r="AD1616" s="116"/>
      <c r="AE1616" s="116"/>
      <c r="AF1616" s="116"/>
      <c r="AG1616" s="116"/>
      <c r="AH1616" s="116"/>
      <c r="AI1616" s="116"/>
    </row>
    <row r="1617" spans="27:35" ht="18">
      <c r="AA1617" s="116"/>
      <c r="AB1617" s="87"/>
      <c r="AC1617" s="116"/>
      <c r="AD1617" s="116"/>
      <c r="AE1617" s="116"/>
      <c r="AF1617" s="116"/>
      <c r="AG1617" s="116"/>
      <c r="AH1617" s="116"/>
      <c r="AI1617" s="116"/>
    </row>
    <row r="1618" spans="27:35" ht="18">
      <c r="AA1618" s="116"/>
      <c r="AB1618" s="87"/>
      <c r="AC1618" s="116"/>
      <c r="AD1618" s="116"/>
      <c r="AE1618" s="116"/>
      <c r="AF1618" s="116"/>
      <c r="AG1618" s="116"/>
      <c r="AH1618" s="116"/>
      <c r="AI1618" s="116"/>
    </row>
    <row r="1619" spans="27:35" ht="18">
      <c r="AA1619" s="116"/>
      <c r="AB1619" s="87"/>
      <c r="AC1619" s="116"/>
      <c r="AD1619" s="116"/>
      <c r="AE1619" s="116"/>
      <c r="AF1619" s="116"/>
      <c r="AG1619" s="116"/>
      <c r="AH1619" s="116"/>
      <c r="AI1619" s="116"/>
    </row>
    <row r="1620" spans="27:35" ht="18">
      <c r="AA1620" s="116"/>
      <c r="AB1620" s="87"/>
      <c r="AC1620" s="116"/>
      <c r="AD1620" s="116"/>
      <c r="AE1620" s="116"/>
      <c r="AF1620" s="116"/>
      <c r="AG1620" s="116"/>
      <c r="AH1620" s="116"/>
      <c r="AI1620" s="116"/>
    </row>
    <row r="1621" spans="27:35" ht="18">
      <c r="AA1621" s="116"/>
      <c r="AB1621" s="87"/>
      <c r="AC1621" s="116"/>
      <c r="AD1621" s="116"/>
      <c r="AE1621" s="116"/>
      <c r="AF1621" s="116"/>
      <c r="AG1621" s="116"/>
      <c r="AH1621" s="116"/>
      <c r="AI1621" s="116"/>
    </row>
    <row r="1622" spans="27:35" ht="18">
      <c r="AA1622" s="116"/>
      <c r="AB1622" s="87"/>
      <c r="AC1622" s="116"/>
      <c r="AD1622" s="116"/>
      <c r="AE1622" s="116"/>
      <c r="AF1622" s="116"/>
      <c r="AG1622" s="116"/>
      <c r="AH1622" s="116"/>
      <c r="AI1622" s="116"/>
    </row>
    <row r="1623" spans="27:35" ht="18">
      <c r="AA1623" s="116"/>
      <c r="AB1623" s="87"/>
      <c r="AC1623" s="116"/>
      <c r="AD1623" s="116"/>
      <c r="AE1623" s="116"/>
      <c r="AF1623" s="116"/>
      <c r="AG1623" s="116"/>
      <c r="AH1623" s="116"/>
      <c r="AI1623" s="116"/>
    </row>
    <row r="1624" spans="27:35" ht="18">
      <c r="AA1624" s="116"/>
      <c r="AB1624" s="87"/>
      <c r="AC1624" s="116"/>
      <c r="AD1624" s="116"/>
      <c r="AE1624" s="116"/>
      <c r="AF1624" s="116"/>
      <c r="AG1624" s="116"/>
      <c r="AH1624" s="116"/>
      <c r="AI1624" s="116"/>
    </row>
    <row r="1625" spans="27:35" ht="18">
      <c r="AA1625" s="116"/>
      <c r="AB1625" s="87"/>
      <c r="AC1625" s="116"/>
      <c r="AD1625" s="116"/>
      <c r="AE1625" s="116"/>
      <c r="AF1625" s="116"/>
      <c r="AG1625" s="116"/>
      <c r="AH1625" s="116"/>
      <c r="AI1625" s="116"/>
    </row>
    <row r="1626" spans="27:35" ht="18">
      <c r="AA1626" s="116"/>
      <c r="AB1626" s="87"/>
      <c r="AC1626" s="116"/>
      <c r="AD1626" s="116"/>
      <c r="AE1626" s="116"/>
      <c r="AF1626" s="116"/>
      <c r="AG1626" s="116"/>
      <c r="AH1626" s="116"/>
      <c r="AI1626" s="116"/>
    </row>
    <row r="1627" spans="27:35" ht="18">
      <c r="AA1627" s="116"/>
      <c r="AB1627" s="87"/>
      <c r="AC1627" s="116"/>
      <c r="AD1627" s="116"/>
      <c r="AE1627" s="116"/>
      <c r="AF1627" s="116"/>
      <c r="AG1627" s="116"/>
      <c r="AH1627" s="116"/>
      <c r="AI1627" s="116"/>
    </row>
    <row r="1628" spans="27:35" ht="18">
      <c r="AA1628" s="116"/>
      <c r="AB1628" s="87"/>
      <c r="AC1628" s="116"/>
      <c r="AD1628" s="116"/>
      <c r="AE1628" s="116"/>
      <c r="AF1628" s="116"/>
      <c r="AG1628" s="116"/>
      <c r="AH1628" s="116"/>
      <c r="AI1628" s="116"/>
    </row>
    <row r="1629" spans="27:35" ht="18">
      <c r="AA1629" s="116"/>
      <c r="AB1629" s="87"/>
      <c r="AC1629" s="116"/>
      <c r="AD1629" s="116"/>
      <c r="AE1629" s="116"/>
      <c r="AF1629" s="116"/>
      <c r="AG1629" s="116"/>
      <c r="AH1629" s="116"/>
      <c r="AI1629" s="116"/>
    </row>
    <row r="1630" spans="27:35" ht="18">
      <c r="AA1630" s="116"/>
      <c r="AB1630" s="87"/>
      <c r="AC1630" s="116"/>
      <c r="AD1630" s="116"/>
      <c r="AE1630" s="116"/>
      <c r="AF1630" s="116"/>
      <c r="AG1630" s="116"/>
      <c r="AH1630" s="116"/>
      <c r="AI1630" s="116"/>
    </row>
    <row r="1631" spans="27:35" ht="18">
      <c r="AA1631" s="116"/>
      <c r="AB1631" s="87"/>
      <c r="AC1631" s="116"/>
      <c r="AD1631" s="116"/>
      <c r="AE1631" s="116"/>
      <c r="AF1631" s="116"/>
      <c r="AG1631" s="116"/>
      <c r="AH1631" s="116"/>
      <c r="AI1631" s="116"/>
    </row>
    <row r="1632" spans="27:35" ht="18">
      <c r="AA1632" s="116"/>
      <c r="AB1632" s="87"/>
      <c r="AC1632" s="116"/>
      <c r="AD1632" s="116"/>
      <c r="AE1632" s="116"/>
      <c r="AF1632" s="116"/>
      <c r="AG1632" s="116"/>
      <c r="AH1632" s="116"/>
      <c r="AI1632" s="116"/>
    </row>
    <row r="1633" spans="27:35" ht="18">
      <c r="AA1633" s="116"/>
      <c r="AB1633" s="87"/>
      <c r="AC1633" s="116"/>
      <c r="AD1633" s="116"/>
      <c r="AE1633" s="116"/>
      <c r="AF1633" s="116"/>
      <c r="AG1633" s="116"/>
      <c r="AH1633" s="116"/>
      <c r="AI1633" s="116"/>
    </row>
    <row r="1634" spans="27:35" ht="18">
      <c r="AA1634" s="116"/>
      <c r="AB1634" s="87"/>
      <c r="AC1634" s="116"/>
      <c r="AD1634" s="116"/>
      <c r="AE1634" s="116"/>
      <c r="AF1634" s="116"/>
      <c r="AG1634" s="116"/>
      <c r="AH1634" s="116"/>
      <c r="AI1634" s="116"/>
    </row>
    <row r="1635" spans="27:35" ht="18">
      <c r="AA1635" s="116"/>
      <c r="AB1635" s="87"/>
      <c r="AC1635" s="116"/>
      <c r="AD1635" s="116"/>
      <c r="AE1635" s="116"/>
      <c r="AF1635" s="116"/>
      <c r="AG1635" s="116"/>
      <c r="AH1635" s="116"/>
      <c r="AI1635" s="116"/>
    </row>
    <row r="1636" spans="27:35" ht="18">
      <c r="AA1636" s="116"/>
      <c r="AB1636" s="87"/>
      <c r="AC1636" s="116"/>
      <c r="AD1636" s="116"/>
      <c r="AE1636" s="116"/>
      <c r="AF1636" s="116"/>
      <c r="AG1636" s="116"/>
      <c r="AH1636" s="116"/>
      <c r="AI1636" s="116"/>
    </row>
    <row r="1637" spans="27:35" ht="18">
      <c r="AA1637" s="116"/>
      <c r="AB1637" s="87"/>
      <c r="AC1637" s="116"/>
      <c r="AD1637" s="116"/>
      <c r="AE1637" s="116"/>
      <c r="AF1637" s="116"/>
      <c r="AG1637" s="116"/>
      <c r="AH1637" s="116"/>
      <c r="AI1637" s="116"/>
    </row>
    <row r="1638" spans="27:35" ht="18">
      <c r="AA1638" s="116"/>
      <c r="AB1638" s="184"/>
      <c r="AC1638" s="116"/>
      <c r="AD1638" s="116"/>
      <c r="AE1638" s="116"/>
      <c r="AF1638" s="116"/>
      <c r="AG1638" s="116"/>
      <c r="AH1638" s="116"/>
      <c r="AI1638" s="116"/>
    </row>
    <row r="1639" spans="27:35" ht="18">
      <c r="AA1639" s="116"/>
      <c r="AB1639" s="87"/>
      <c r="AC1639" s="116"/>
      <c r="AD1639" s="116"/>
      <c r="AE1639" s="116"/>
      <c r="AF1639" s="116"/>
      <c r="AG1639" s="116"/>
      <c r="AH1639" s="116"/>
      <c r="AI1639" s="116"/>
    </row>
    <row r="1640" spans="27:35" ht="18">
      <c r="AA1640" s="116"/>
      <c r="AB1640" s="87"/>
      <c r="AC1640" s="116"/>
      <c r="AD1640" s="116"/>
      <c r="AE1640" s="116"/>
      <c r="AF1640" s="116"/>
      <c r="AG1640" s="116"/>
      <c r="AH1640" s="116"/>
      <c r="AI1640" s="116"/>
    </row>
    <row r="1641" spans="27:35" ht="18">
      <c r="AA1641" s="116"/>
      <c r="AB1641" s="87"/>
      <c r="AC1641" s="116"/>
      <c r="AD1641" s="116"/>
      <c r="AE1641" s="116"/>
      <c r="AF1641" s="116"/>
      <c r="AG1641" s="116"/>
      <c r="AH1641" s="116"/>
      <c r="AI1641" s="116"/>
    </row>
    <row r="1642" spans="27:35" ht="18">
      <c r="AA1642" s="116"/>
      <c r="AB1642" s="87"/>
      <c r="AC1642" s="116"/>
      <c r="AD1642" s="116"/>
      <c r="AE1642" s="116"/>
      <c r="AF1642" s="116"/>
      <c r="AG1642" s="116"/>
      <c r="AH1642" s="116"/>
      <c r="AI1642" s="116"/>
    </row>
    <row r="1643" spans="27:35" ht="18">
      <c r="AA1643" s="116"/>
      <c r="AB1643" s="87"/>
      <c r="AC1643" s="116"/>
      <c r="AD1643" s="116"/>
      <c r="AE1643" s="116"/>
      <c r="AF1643" s="116"/>
      <c r="AG1643" s="116"/>
      <c r="AH1643" s="116"/>
      <c r="AI1643" s="116"/>
    </row>
    <row r="1644" spans="27:35" ht="18">
      <c r="AA1644" s="116"/>
      <c r="AB1644" s="87"/>
      <c r="AC1644" s="116"/>
      <c r="AD1644" s="116"/>
      <c r="AE1644" s="116"/>
      <c r="AF1644" s="116"/>
      <c r="AG1644" s="116"/>
      <c r="AH1644" s="116"/>
      <c r="AI1644" s="116"/>
    </row>
    <row r="1645" spans="27:35" ht="18">
      <c r="AA1645" s="116"/>
      <c r="AB1645" s="87"/>
      <c r="AC1645" s="116"/>
      <c r="AD1645" s="116"/>
      <c r="AE1645" s="116"/>
      <c r="AF1645" s="116"/>
      <c r="AG1645" s="116"/>
      <c r="AH1645" s="116"/>
      <c r="AI1645" s="116"/>
    </row>
    <row r="1646" spans="27:35" ht="18">
      <c r="AA1646" s="116"/>
      <c r="AB1646" s="87"/>
      <c r="AC1646" s="116"/>
      <c r="AD1646" s="116"/>
      <c r="AE1646" s="116"/>
      <c r="AF1646" s="116"/>
      <c r="AG1646" s="116"/>
      <c r="AH1646" s="116"/>
      <c r="AI1646" s="116"/>
    </row>
    <row r="1647" spans="27:35" ht="18">
      <c r="AA1647" s="116"/>
      <c r="AB1647" s="87"/>
      <c r="AC1647" s="116"/>
      <c r="AD1647" s="116"/>
      <c r="AE1647" s="116"/>
      <c r="AF1647" s="116"/>
      <c r="AG1647" s="116"/>
      <c r="AH1647" s="116"/>
      <c r="AI1647" s="116"/>
    </row>
    <row r="1648" spans="27:35" ht="18">
      <c r="AA1648" s="116"/>
      <c r="AB1648" s="87"/>
      <c r="AC1648" s="116"/>
      <c r="AD1648" s="116"/>
      <c r="AE1648" s="116"/>
      <c r="AF1648" s="116"/>
      <c r="AG1648" s="116"/>
      <c r="AH1648" s="116"/>
      <c r="AI1648" s="116"/>
    </row>
    <row r="1649" spans="27:35" ht="18">
      <c r="AA1649" s="116"/>
      <c r="AB1649" s="87"/>
      <c r="AC1649" s="116"/>
      <c r="AD1649" s="116"/>
      <c r="AE1649" s="116"/>
      <c r="AF1649" s="116"/>
      <c r="AG1649" s="116"/>
      <c r="AH1649" s="116"/>
      <c r="AI1649" s="116"/>
    </row>
    <row r="1650" spans="27:35" ht="18">
      <c r="AA1650" s="116"/>
      <c r="AB1650" s="87"/>
      <c r="AC1650" s="116"/>
      <c r="AD1650" s="116"/>
      <c r="AE1650" s="116"/>
      <c r="AF1650" s="116"/>
      <c r="AG1650" s="116"/>
      <c r="AH1650" s="116"/>
      <c r="AI1650" s="116"/>
    </row>
    <row r="1651" spans="27:35" ht="18">
      <c r="AA1651" s="116"/>
      <c r="AB1651" s="87"/>
      <c r="AC1651" s="116"/>
      <c r="AD1651" s="116"/>
      <c r="AE1651" s="116"/>
      <c r="AF1651" s="116"/>
      <c r="AG1651" s="116"/>
      <c r="AH1651" s="116"/>
      <c r="AI1651" s="116"/>
    </row>
    <row r="1652" spans="27:35" ht="18">
      <c r="AA1652" s="116"/>
      <c r="AB1652" s="87"/>
      <c r="AC1652" s="116"/>
      <c r="AD1652" s="116"/>
      <c r="AE1652" s="116"/>
      <c r="AF1652" s="116"/>
      <c r="AG1652" s="116"/>
      <c r="AH1652" s="116"/>
      <c r="AI1652" s="116"/>
    </row>
    <row r="1653" spans="27:35" ht="18">
      <c r="AA1653" s="116"/>
      <c r="AB1653" s="87"/>
      <c r="AC1653" s="116"/>
      <c r="AD1653" s="116"/>
      <c r="AE1653" s="116"/>
      <c r="AF1653" s="116"/>
      <c r="AG1653" s="116"/>
      <c r="AH1653" s="116"/>
      <c r="AI1653" s="116"/>
    </row>
    <row r="1654" spans="27:35" ht="18">
      <c r="AA1654" s="116"/>
      <c r="AB1654" s="87"/>
      <c r="AC1654" s="116"/>
      <c r="AD1654" s="116"/>
      <c r="AE1654" s="116"/>
      <c r="AF1654" s="116"/>
      <c r="AG1654" s="116"/>
      <c r="AH1654" s="116"/>
      <c r="AI1654" s="116"/>
    </row>
    <row r="1655" spans="27:35" ht="18">
      <c r="AA1655" s="116"/>
      <c r="AB1655" s="87"/>
      <c r="AC1655" s="116"/>
      <c r="AD1655" s="116"/>
      <c r="AE1655" s="116"/>
      <c r="AF1655" s="116"/>
      <c r="AG1655" s="116"/>
      <c r="AH1655" s="116"/>
      <c r="AI1655" s="116"/>
    </row>
    <row r="1656" spans="27:35" ht="18">
      <c r="AA1656" s="116"/>
      <c r="AB1656" s="184"/>
      <c r="AC1656" s="116"/>
      <c r="AD1656" s="116"/>
      <c r="AE1656" s="116"/>
      <c r="AF1656" s="116"/>
      <c r="AG1656" s="116"/>
      <c r="AH1656" s="116"/>
      <c r="AI1656" s="116"/>
    </row>
    <row r="1657" spans="27:35" ht="18">
      <c r="AA1657" s="116"/>
      <c r="AB1657" s="184"/>
      <c r="AC1657" s="116"/>
      <c r="AD1657" s="116"/>
      <c r="AE1657" s="116"/>
      <c r="AF1657" s="116"/>
      <c r="AG1657" s="116"/>
      <c r="AH1657" s="116"/>
      <c r="AI1657" s="116"/>
    </row>
    <row r="1658" spans="27:35" ht="18">
      <c r="AA1658" s="116"/>
      <c r="AB1658" s="87"/>
      <c r="AC1658" s="116"/>
      <c r="AD1658" s="116"/>
      <c r="AE1658" s="116"/>
      <c r="AF1658" s="116"/>
      <c r="AG1658" s="116"/>
      <c r="AH1658" s="116"/>
      <c r="AI1658" s="116"/>
    </row>
    <row r="1659" spans="27:35" ht="18">
      <c r="AA1659" s="116"/>
      <c r="AB1659" s="87"/>
      <c r="AC1659" s="116"/>
      <c r="AD1659" s="116"/>
      <c r="AE1659" s="116"/>
      <c r="AF1659" s="116"/>
      <c r="AG1659" s="116"/>
      <c r="AH1659" s="116"/>
      <c r="AI1659" s="116"/>
    </row>
    <row r="1660" spans="27:35" ht="18">
      <c r="AA1660" s="116"/>
      <c r="AB1660" s="87"/>
      <c r="AC1660" s="116"/>
      <c r="AD1660" s="116"/>
      <c r="AE1660" s="116"/>
      <c r="AF1660" s="116"/>
      <c r="AG1660" s="116"/>
      <c r="AH1660" s="116"/>
      <c r="AI1660" s="116"/>
    </row>
    <row r="1661" spans="27:35" ht="18">
      <c r="AA1661" s="116"/>
      <c r="AB1661" s="87"/>
      <c r="AC1661" s="116"/>
      <c r="AD1661" s="116"/>
      <c r="AE1661" s="116"/>
      <c r="AF1661" s="116"/>
      <c r="AG1661" s="116"/>
      <c r="AH1661" s="116"/>
      <c r="AI1661" s="116"/>
    </row>
    <row r="1662" spans="27:35" ht="18">
      <c r="AA1662" s="116"/>
      <c r="AB1662" s="87"/>
      <c r="AC1662" s="116"/>
      <c r="AD1662" s="116"/>
      <c r="AE1662" s="116"/>
      <c r="AF1662" s="116"/>
      <c r="AG1662" s="116"/>
      <c r="AH1662" s="116"/>
      <c r="AI1662" s="116"/>
    </row>
    <row r="1663" spans="27:35" ht="18">
      <c r="AA1663" s="116"/>
      <c r="AB1663" s="87"/>
      <c r="AC1663" s="116"/>
      <c r="AD1663" s="116"/>
      <c r="AE1663" s="116"/>
      <c r="AF1663" s="116"/>
      <c r="AG1663" s="116"/>
      <c r="AH1663" s="116"/>
      <c r="AI1663" s="116"/>
    </row>
    <row r="1664" spans="27:35" ht="18">
      <c r="AA1664" s="116"/>
      <c r="AB1664" s="87"/>
      <c r="AC1664" s="116"/>
      <c r="AD1664" s="116"/>
      <c r="AE1664" s="116"/>
      <c r="AF1664" s="116"/>
      <c r="AG1664" s="116"/>
      <c r="AH1664" s="116"/>
      <c r="AI1664" s="116"/>
    </row>
    <row r="1665" spans="27:35" ht="18">
      <c r="AA1665" s="116"/>
      <c r="AB1665" s="87"/>
      <c r="AC1665" s="116"/>
      <c r="AD1665" s="116"/>
      <c r="AE1665" s="116"/>
      <c r="AF1665" s="116"/>
      <c r="AG1665" s="116"/>
      <c r="AH1665" s="116"/>
      <c r="AI1665" s="116"/>
    </row>
    <row r="1666" spans="27:35" ht="18">
      <c r="AA1666" s="116"/>
      <c r="AB1666" s="87"/>
      <c r="AC1666" s="116"/>
      <c r="AD1666" s="116"/>
      <c r="AE1666" s="116"/>
      <c r="AF1666" s="116"/>
      <c r="AG1666" s="116"/>
      <c r="AH1666" s="116"/>
      <c r="AI1666" s="116"/>
    </row>
    <row r="1667" spans="27:35" ht="18">
      <c r="AA1667" s="116"/>
      <c r="AB1667" s="87"/>
      <c r="AC1667" s="116"/>
      <c r="AD1667" s="116"/>
      <c r="AE1667" s="116"/>
      <c r="AF1667" s="116"/>
      <c r="AG1667" s="116"/>
      <c r="AH1667" s="116"/>
      <c r="AI1667" s="116"/>
    </row>
    <row r="1668" spans="27:35" ht="18">
      <c r="AA1668" s="116"/>
      <c r="AB1668" s="87"/>
      <c r="AC1668" s="116"/>
      <c r="AD1668" s="116"/>
      <c r="AE1668" s="116"/>
      <c r="AF1668" s="116"/>
      <c r="AG1668" s="116"/>
      <c r="AH1668" s="116"/>
      <c r="AI1668" s="116"/>
    </row>
    <row r="1669" spans="27:35" ht="18">
      <c r="AA1669" s="116"/>
      <c r="AB1669" s="87"/>
      <c r="AC1669" s="116"/>
      <c r="AD1669" s="116"/>
      <c r="AE1669" s="116"/>
      <c r="AF1669" s="116"/>
      <c r="AG1669" s="116"/>
      <c r="AH1669" s="116"/>
      <c r="AI1669" s="116"/>
    </row>
    <row r="1670" spans="27:35" ht="18">
      <c r="AA1670" s="116"/>
      <c r="AB1670" s="184"/>
      <c r="AC1670" s="116"/>
      <c r="AD1670" s="116"/>
      <c r="AE1670" s="116"/>
      <c r="AF1670" s="116"/>
      <c r="AG1670" s="116"/>
      <c r="AH1670" s="116"/>
      <c r="AI1670" s="116"/>
    </row>
    <row r="1671" spans="27:35" ht="18">
      <c r="AA1671" s="116"/>
      <c r="AB1671" s="184"/>
      <c r="AC1671" s="116"/>
      <c r="AD1671" s="116"/>
      <c r="AE1671" s="116"/>
      <c r="AF1671" s="116"/>
      <c r="AG1671" s="116"/>
      <c r="AH1671" s="116"/>
      <c r="AI1671" s="116"/>
    </row>
    <row r="1672" spans="27:35" ht="18">
      <c r="AA1672" s="116"/>
      <c r="AB1672" s="87"/>
      <c r="AC1672" s="116"/>
      <c r="AD1672" s="116"/>
      <c r="AE1672" s="116"/>
      <c r="AF1672" s="116"/>
      <c r="AG1672" s="116"/>
      <c r="AH1672" s="116"/>
      <c r="AI1672" s="116"/>
    </row>
    <row r="1673" spans="27:35" ht="18">
      <c r="AA1673" s="116"/>
      <c r="AB1673" s="87"/>
      <c r="AC1673" s="116"/>
      <c r="AD1673" s="116"/>
      <c r="AE1673" s="116"/>
      <c r="AF1673" s="116"/>
      <c r="AG1673" s="116"/>
      <c r="AH1673" s="116"/>
      <c r="AI1673" s="116"/>
    </row>
    <row r="1674" spans="27:35" ht="18">
      <c r="AA1674" s="116"/>
      <c r="AB1674" s="87"/>
      <c r="AC1674" s="116"/>
      <c r="AD1674" s="116"/>
      <c r="AE1674" s="116"/>
      <c r="AF1674" s="116"/>
      <c r="AG1674" s="116"/>
      <c r="AH1674" s="116"/>
      <c r="AI1674" s="116"/>
    </row>
    <row r="1675" spans="27:35" ht="18">
      <c r="AA1675" s="116"/>
      <c r="AB1675" s="87"/>
      <c r="AC1675" s="116"/>
      <c r="AD1675" s="116"/>
      <c r="AE1675" s="116"/>
      <c r="AF1675" s="116"/>
      <c r="AG1675" s="116"/>
      <c r="AH1675" s="116"/>
      <c r="AI1675" s="116"/>
    </row>
    <row r="1676" spans="27:35" ht="18">
      <c r="AA1676" s="116"/>
      <c r="AB1676" s="87"/>
      <c r="AC1676" s="116"/>
      <c r="AD1676" s="116"/>
      <c r="AE1676" s="116"/>
      <c r="AF1676" s="116"/>
      <c r="AG1676" s="116"/>
      <c r="AH1676" s="116"/>
      <c r="AI1676" s="116"/>
    </row>
    <row r="1677" spans="27:35" ht="18">
      <c r="AA1677" s="116"/>
      <c r="AB1677" s="87"/>
      <c r="AC1677" s="116"/>
      <c r="AD1677" s="116"/>
      <c r="AE1677" s="116"/>
      <c r="AF1677" s="116"/>
      <c r="AG1677" s="116"/>
      <c r="AH1677" s="116"/>
      <c r="AI1677" s="116"/>
    </row>
    <row r="1678" spans="27:35" ht="18">
      <c r="AA1678" s="116"/>
      <c r="AB1678" s="87"/>
      <c r="AC1678" s="116"/>
      <c r="AD1678" s="116"/>
      <c r="AE1678" s="116"/>
      <c r="AF1678" s="116"/>
      <c r="AG1678" s="116"/>
      <c r="AH1678" s="116"/>
      <c r="AI1678" s="116"/>
    </row>
    <row r="1679" spans="27:35" ht="18">
      <c r="AA1679" s="116"/>
      <c r="AB1679" s="87"/>
      <c r="AC1679" s="116"/>
      <c r="AD1679" s="116"/>
      <c r="AE1679" s="116"/>
      <c r="AF1679" s="116"/>
      <c r="AG1679" s="116"/>
      <c r="AH1679" s="116"/>
      <c r="AI1679" s="116"/>
    </row>
    <row r="1680" spans="27:35" ht="18">
      <c r="AA1680" s="116"/>
      <c r="AB1680" s="87"/>
      <c r="AC1680" s="116"/>
      <c r="AD1680" s="116"/>
      <c r="AE1680" s="116"/>
      <c r="AF1680" s="116"/>
      <c r="AG1680" s="116"/>
      <c r="AH1680" s="116"/>
      <c r="AI1680" s="116"/>
    </row>
    <row r="1681" spans="27:35" ht="18">
      <c r="AA1681" s="116"/>
      <c r="AB1681" s="87"/>
      <c r="AC1681" s="116"/>
      <c r="AD1681" s="116"/>
      <c r="AE1681" s="116"/>
      <c r="AF1681" s="116"/>
      <c r="AG1681" s="116"/>
      <c r="AH1681" s="116"/>
      <c r="AI1681" s="116"/>
    </row>
    <row r="1682" spans="27:35" ht="18">
      <c r="AA1682" s="116"/>
      <c r="AB1682" s="87"/>
      <c r="AC1682" s="116"/>
      <c r="AD1682" s="116"/>
      <c r="AE1682" s="116"/>
      <c r="AF1682" s="116"/>
      <c r="AG1682" s="116"/>
      <c r="AH1682" s="116"/>
      <c r="AI1682" s="116"/>
    </row>
    <row r="1683" spans="27:35" ht="18">
      <c r="AA1683" s="116"/>
      <c r="AB1683" s="87"/>
      <c r="AC1683" s="116"/>
      <c r="AD1683" s="116"/>
      <c r="AE1683" s="116"/>
      <c r="AF1683" s="116"/>
      <c r="AG1683" s="116"/>
      <c r="AH1683" s="116"/>
      <c r="AI1683" s="116"/>
    </row>
    <row r="1684" spans="27:35" ht="18">
      <c r="AA1684" s="116"/>
      <c r="AB1684" s="87"/>
      <c r="AC1684" s="116"/>
      <c r="AD1684" s="116"/>
      <c r="AE1684" s="116"/>
      <c r="AF1684" s="116"/>
      <c r="AG1684" s="116"/>
      <c r="AH1684" s="116"/>
      <c r="AI1684" s="116"/>
    </row>
    <row r="1685" spans="27:35" ht="18">
      <c r="AA1685" s="116"/>
      <c r="AB1685" s="87"/>
      <c r="AC1685" s="116"/>
      <c r="AD1685" s="116"/>
      <c r="AE1685" s="116"/>
      <c r="AF1685" s="116"/>
      <c r="AG1685" s="116"/>
      <c r="AH1685" s="116"/>
      <c r="AI1685" s="116"/>
    </row>
    <row r="1686" spans="27:35" ht="18">
      <c r="AA1686" s="116"/>
      <c r="AB1686" s="87"/>
      <c r="AC1686" s="116"/>
      <c r="AD1686" s="116"/>
      <c r="AE1686" s="116"/>
      <c r="AF1686" s="116"/>
      <c r="AG1686" s="116"/>
      <c r="AH1686" s="116"/>
      <c r="AI1686" s="116"/>
    </row>
    <row r="1687" spans="27:35" ht="18">
      <c r="AA1687" s="116"/>
      <c r="AB1687" s="87"/>
      <c r="AC1687" s="116"/>
      <c r="AD1687" s="116"/>
      <c r="AE1687" s="116"/>
      <c r="AF1687" s="116"/>
      <c r="AG1687" s="116"/>
      <c r="AH1687" s="116"/>
      <c r="AI1687" s="116"/>
    </row>
    <row r="1688" spans="27:35" ht="18">
      <c r="AA1688" s="116"/>
      <c r="AB1688" s="87"/>
      <c r="AC1688" s="116"/>
      <c r="AD1688" s="116"/>
      <c r="AE1688" s="116"/>
      <c r="AF1688" s="116"/>
      <c r="AG1688" s="116"/>
      <c r="AH1688" s="116"/>
      <c r="AI1688" s="116"/>
    </row>
    <row r="1689" spans="27:35" ht="18">
      <c r="AA1689" s="116"/>
      <c r="AB1689" s="87"/>
      <c r="AC1689" s="116"/>
      <c r="AD1689" s="116"/>
      <c r="AE1689" s="116"/>
      <c r="AF1689" s="116"/>
      <c r="AG1689" s="116"/>
      <c r="AH1689" s="116"/>
      <c r="AI1689" s="116"/>
    </row>
    <row r="1690" spans="27:35" ht="18">
      <c r="AA1690" s="116"/>
      <c r="AB1690" s="87"/>
      <c r="AC1690" s="116"/>
      <c r="AD1690" s="116"/>
      <c r="AE1690" s="116"/>
      <c r="AF1690" s="116"/>
      <c r="AG1690" s="116"/>
      <c r="AH1690" s="116"/>
      <c r="AI1690" s="116"/>
    </row>
    <row r="1691" spans="27:35" ht="18">
      <c r="AA1691" s="116"/>
      <c r="AB1691" s="87"/>
      <c r="AC1691" s="116"/>
      <c r="AD1691" s="116"/>
      <c r="AE1691" s="116"/>
      <c r="AF1691" s="116"/>
      <c r="AG1691" s="116"/>
      <c r="AH1691" s="116"/>
      <c r="AI1691" s="116"/>
    </row>
    <row r="1692" spans="27:35" ht="18">
      <c r="AA1692" s="116"/>
      <c r="AB1692" s="87"/>
      <c r="AC1692" s="116"/>
      <c r="AD1692" s="116"/>
      <c r="AE1692" s="116"/>
      <c r="AF1692" s="116"/>
      <c r="AG1692" s="116"/>
      <c r="AH1692" s="116"/>
      <c r="AI1692" s="116"/>
    </row>
    <row r="1693" spans="27:35" ht="18">
      <c r="AA1693" s="116"/>
      <c r="AB1693" s="87"/>
      <c r="AC1693" s="116"/>
      <c r="AD1693" s="116"/>
      <c r="AE1693" s="116"/>
      <c r="AF1693" s="116"/>
      <c r="AG1693" s="116"/>
      <c r="AH1693" s="116"/>
      <c r="AI1693" s="116"/>
    </row>
    <row r="1694" spans="27:35" ht="18">
      <c r="AA1694" s="116"/>
      <c r="AB1694" s="87"/>
      <c r="AC1694" s="116"/>
      <c r="AD1694" s="116"/>
      <c r="AE1694" s="116"/>
      <c r="AF1694" s="116"/>
      <c r="AG1694" s="116"/>
      <c r="AH1694" s="116"/>
      <c r="AI1694" s="116"/>
    </row>
    <row r="1695" spans="27:35" ht="18">
      <c r="AA1695" s="116"/>
      <c r="AB1695" s="87"/>
      <c r="AC1695" s="116"/>
      <c r="AD1695" s="116"/>
      <c r="AE1695" s="116"/>
      <c r="AF1695" s="116"/>
      <c r="AG1695" s="116"/>
      <c r="AH1695" s="116"/>
      <c r="AI1695" s="116"/>
    </row>
    <row r="1696" spans="27:35" ht="18">
      <c r="AA1696" s="116"/>
      <c r="AB1696" s="87"/>
      <c r="AC1696" s="116"/>
      <c r="AD1696" s="116"/>
      <c r="AE1696" s="116"/>
      <c r="AF1696" s="116"/>
      <c r="AG1696" s="116"/>
      <c r="AH1696" s="116"/>
      <c r="AI1696" s="116"/>
    </row>
    <row r="1697" spans="27:35" ht="18">
      <c r="AA1697" s="116"/>
      <c r="AB1697" s="87"/>
      <c r="AC1697" s="116"/>
      <c r="AD1697" s="116"/>
      <c r="AE1697" s="116"/>
      <c r="AF1697" s="116"/>
      <c r="AG1697" s="116"/>
      <c r="AH1697" s="116"/>
      <c r="AI1697" s="116"/>
    </row>
    <row r="1698" spans="27:35" ht="18">
      <c r="AA1698" s="116"/>
      <c r="AB1698" s="87"/>
      <c r="AC1698" s="116"/>
      <c r="AD1698" s="116"/>
      <c r="AE1698" s="116"/>
      <c r="AF1698" s="116"/>
      <c r="AG1698" s="116"/>
      <c r="AH1698" s="116"/>
      <c r="AI1698" s="116"/>
    </row>
    <row r="1699" spans="27:35" ht="18">
      <c r="AA1699" s="116"/>
      <c r="AB1699" s="87"/>
      <c r="AC1699" s="116"/>
      <c r="AD1699" s="116"/>
      <c r="AE1699" s="116"/>
      <c r="AF1699" s="116"/>
      <c r="AG1699" s="116"/>
      <c r="AH1699" s="116"/>
      <c r="AI1699" s="116"/>
    </row>
    <row r="1700" spans="27:35" ht="18">
      <c r="AA1700" s="116"/>
      <c r="AB1700" s="87"/>
      <c r="AC1700" s="116"/>
      <c r="AD1700" s="116"/>
      <c r="AE1700" s="116"/>
      <c r="AF1700" s="116"/>
      <c r="AG1700" s="116"/>
      <c r="AH1700" s="116"/>
      <c r="AI1700" s="116"/>
    </row>
    <row r="1701" spans="27:35" ht="18">
      <c r="AA1701" s="116"/>
      <c r="AB1701" s="87"/>
      <c r="AC1701" s="116"/>
      <c r="AD1701" s="116"/>
      <c r="AE1701" s="116"/>
      <c r="AF1701" s="116"/>
      <c r="AG1701" s="116"/>
      <c r="AH1701" s="116"/>
      <c r="AI1701" s="116"/>
    </row>
    <row r="1702" spans="27:35" ht="18">
      <c r="AA1702" s="116"/>
      <c r="AB1702" s="87"/>
      <c r="AC1702" s="116"/>
      <c r="AD1702" s="116"/>
      <c r="AE1702" s="116"/>
      <c r="AF1702" s="116"/>
      <c r="AG1702" s="116"/>
      <c r="AH1702" s="116"/>
      <c r="AI1702" s="116"/>
    </row>
    <row r="1703" spans="27:35" ht="18">
      <c r="AA1703" s="116"/>
      <c r="AB1703" s="87"/>
      <c r="AC1703" s="116"/>
      <c r="AD1703" s="116"/>
      <c r="AE1703" s="116"/>
      <c r="AF1703" s="116"/>
      <c r="AG1703" s="116"/>
      <c r="AH1703" s="116"/>
      <c r="AI1703" s="116"/>
    </row>
    <row r="1704" spans="27:35" ht="18">
      <c r="AA1704" s="116"/>
      <c r="AB1704" s="87"/>
      <c r="AC1704" s="116"/>
      <c r="AD1704" s="116"/>
      <c r="AE1704" s="116"/>
      <c r="AF1704" s="116"/>
      <c r="AG1704" s="116"/>
      <c r="AH1704" s="116"/>
      <c r="AI1704" s="116"/>
    </row>
    <row r="1705" spans="27:35" ht="18">
      <c r="AA1705" s="116"/>
      <c r="AB1705" s="87"/>
      <c r="AC1705" s="116"/>
      <c r="AD1705" s="116"/>
      <c r="AE1705" s="116"/>
      <c r="AF1705" s="116"/>
      <c r="AG1705" s="116"/>
      <c r="AH1705" s="116"/>
      <c r="AI1705" s="116"/>
    </row>
    <row r="1706" spans="27:35" ht="18">
      <c r="AA1706" s="116"/>
      <c r="AB1706" s="87"/>
      <c r="AC1706" s="116"/>
      <c r="AD1706" s="116"/>
      <c r="AE1706" s="116"/>
      <c r="AF1706" s="116"/>
      <c r="AG1706" s="116"/>
      <c r="AH1706" s="116"/>
      <c r="AI1706" s="116"/>
    </row>
    <row r="1707" spans="27:35" ht="18">
      <c r="AA1707" s="116"/>
      <c r="AB1707" s="87"/>
      <c r="AC1707" s="116"/>
      <c r="AD1707" s="116"/>
      <c r="AE1707" s="116"/>
      <c r="AF1707" s="116"/>
      <c r="AG1707" s="116"/>
      <c r="AH1707" s="116"/>
      <c r="AI1707" s="116"/>
    </row>
    <row r="1708" spans="27:35" ht="18">
      <c r="AA1708" s="116"/>
      <c r="AB1708" s="87"/>
      <c r="AC1708" s="116"/>
      <c r="AD1708" s="116"/>
      <c r="AE1708" s="116"/>
      <c r="AF1708" s="116"/>
      <c r="AG1708" s="116"/>
      <c r="AH1708" s="116"/>
      <c r="AI1708" s="116"/>
    </row>
    <row r="1709" spans="27:35" ht="18">
      <c r="AA1709" s="116"/>
      <c r="AB1709" s="87"/>
      <c r="AC1709" s="116"/>
      <c r="AD1709" s="116"/>
      <c r="AE1709" s="116"/>
      <c r="AF1709" s="116"/>
      <c r="AG1709" s="116"/>
      <c r="AH1709" s="116"/>
      <c r="AI1709" s="116"/>
    </row>
    <row r="1710" spans="27:35" ht="18">
      <c r="AA1710" s="116"/>
      <c r="AB1710" s="87"/>
      <c r="AC1710" s="116"/>
      <c r="AD1710" s="116"/>
      <c r="AE1710" s="116"/>
      <c r="AF1710" s="116"/>
      <c r="AG1710" s="116"/>
      <c r="AH1710" s="116"/>
      <c r="AI1710" s="116"/>
    </row>
    <row r="1711" spans="27:35" ht="18">
      <c r="AA1711" s="116"/>
      <c r="AB1711" s="87"/>
      <c r="AC1711" s="116"/>
      <c r="AD1711" s="116"/>
      <c r="AE1711" s="116"/>
      <c r="AF1711" s="116"/>
      <c r="AG1711" s="116"/>
      <c r="AH1711" s="116"/>
      <c r="AI1711" s="116"/>
    </row>
    <row r="1712" spans="27:35" ht="18">
      <c r="AA1712" s="116"/>
      <c r="AB1712" s="87"/>
      <c r="AC1712" s="116"/>
      <c r="AD1712" s="116"/>
      <c r="AE1712" s="116"/>
      <c r="AF1712" s="116"/>
      <c r="AG1712" s="116"/>
      <c r="AH1712" s="116"/>
      <c r="AI1712" s="116"/>
    </row>
    <row r="1713" spans="27:35" ht="18">
      <c r="AA1713" s="116"/>
      <c r="AB1713" s="87"/>
      <c r="AC1713" s="116"/>
      <c r="AD1713" s="116"/>
      <c r="AE1713" s="116"/>
      <c r="AF1713" s="116"/>
      <c r="AG1713" s="116"/>
      <c r="AH1713" s="116"/>
      <c r="AI1713" s="116"/>
    </row>
    <row r="1714" spans="27:35" ht="18">
      <c r="AA1714" s="116"/>
      <c r="AB1714" s="87"/>
      <c r="AC1714" s="116"/>
      <c r="AD1714" s="116"/>
      <c r="AE1714" s="116"/>
      <c r="AF1714" s="116"/>
      <c r="AG1714" s="116"/>
      <c r="AH1714" s="116"/>
      <c r="AI1714" s="116"/>
    </row>
    <row r="1715" spans="27:35" ht="18">
      <c r="AA1715" s="116"/>
      <c r="AB1715" s="184"/>
      <c r="AC1715" s="116"/>
      <c r="AD1715" s="116"/>
      <c r="AE1715" s="116"/>
      <c r="AF1715" s="116"/>
      <c r="AG1715" s="116"/>
      <c r="AH1715" s="116"/>
      <c r="AI1715" s="116"/>
    </row>
    <row r="1716" spans="27:35" ht="18">
      <c r="AA1716" s="116"/>
      <c r="AB1716" s="184"/>
      <c r="AC1716" s="116"/>
      <c r="AD1716" s="116"/>
      <c r="AE1716" s="116"/>
      <c r="AF1716" s="116"/>
      <c r="AG1716" s="116"/>
      <c r="AH1716" s="116"/>
      <c r="AI1716" s="116"/>
    </row>
    <row r="1717" spans="27:35" ht="18">
      <c r="AA1717" s="116"/>
      <c r="AB1717" s="87"/>
      <c r="AC1717" s="116"/>
      <c r="AD1717" s="116"/>
      <c r="AE1717" s="116"/>
      <c r="AF1717" s="116"/>
      <c r="AG1717" s="116"/>
      <c r="AH1717" s="116"/>
      <c r="AI1717" s="116"/>
    </row>
    <row r="1718" spans="27:35" ht="18">
      <c r="AA1718" s="116"/>
      <c r="AB1718" s="87"/>
      <c r="AC1718" s="116"/>
      <c r="AD1718" s="116"/>
      <c r="AE1718" s="116"/>
      <c r="AF1718" s="116"/>
      <c r="AG1718" s="116"/>
      <c r="AH1718" s="116"/>
      <c r="AI1718" s="116"/>
    </row>
    <row r="1719" spans="27:35" ht="18">
      <c r="AA1719" s="116"/>
      <c r="AB1719" s="87"/>
      <c r="AC1719" s="116"/>
      <c r="AD1719" s="116"/>
      <c r="AE1719" s="116"/>
      <c r="AF1719" s="116"/>
      <c r="AG1719" s="116"/>
      <c r="AH1719" s="116"/>
      <c r="AI1719" s="116"/>
    </row>
    <row r="1720" spans="27:35" ht="18">
      <c r="AA1720" s="116"/>
      <c r="AB1720" s="87"/>
      <c r="AC1720" s="116"/>
      <c r="AD1720" s="116"/>
      <c r="AE1720" s="116"/>
      <c r="AF1720" s="116"/>
      <c r="AG1720" s="116"/>
      <c r="AH1720" s="116"/>
      <c r="AI1720" s="116"/>
    </row>
    <row r="1721" spans="27:35" ht="18">
      <c r="AA1721" s="116"/>
      <c r="AB1721" s="87"/>
      <c r="AC1721" s="116"/>
      <c r="AD1721" s="116"/>
      <c r="AE1721" s="116"/>
      <c r="AF1721" s="116"/>
      <c r="AG1721" s="116"/>
      <c r="AH1721" s="116"/>
      <c r="AI1721" s="116"/>
    </row>
    <row r="1722" spans="27:35" ht="18">
      <c r="AA1722" s="116"/>
      <c r="AB1722" s="87"/>
      <c r="AC1722" s="116"/>
      <c r="AD1722" s="116"/>
      <c r="AE1722" s="116"/>
      <c r="AF1722" s="116"/>
      <c r="AG1722" s="116"/>
      <c r="AH1722" s="116"/>
      <c r="AI1722" s="116"/>
    </row>
    <row r="1723" spans="27:35" ht="18">
      <c r="AA1723" s="116"/>
      <c r="AB1723" s="87"/>
      <c r="AC1723" s="116"/>
      <c r="AD1723" s="116"/>
      <c r="AE1723" s="116"/>
      <c r="AF1723" s="116"/>
      <c r="AG1723" s="116"/>
      <c r="AH1723" s="116"/>
      <c r="AI1723" s="116"/>
    </row>
    <row r="1724" spans="27:35" ht="18">
      <c r="AA1724" s="116"/>
      <c r="AB1724" s="87"/>
      <c r="AC1724" s="116"/>
      <c r="AD1724" s="116"/>
      <c r="AE1724" s="116"/>
      <c r="AF1724" s="116"/>
      <c r="AG1724" s="116"/>
      <c r="AH1724" s="116"/>
      <c r="AI1724" s="116"/>
    </row>
    <row r="1725" spans="27:35" ht="18">
      <c r="AA1725" s="116"/>
      <c r="AB1725" s="87"/>
      <c r="AC1725" s="116"/>
      <c r="AD1725" s="116"/>
      <c r="AE1725" s="116"/>
      <c r="AF1725" s="116"/>
      <c r="AG1725" s="116"/>
      <c r="AH1725" s="116"/>
      <c r="AI1725" s="116"/>
    </row>
    <row r="1726" spans="27:35" ht="18">
      <c r="AA1726" s="116"/>
      <c r="AB1726" s="87"/>
      <c r="AC1726" s="116"/>
      <c r="AD1726" s="116"/>
      <c r="AE1726" s="116"/>
      <c r="AF1726" s="116"/>
      <c r="AG1726" s="116"/>
      <c r="AH1726" s="116"/>
      <c r="AI1726" s="116"/>
    </row>
    <row r="1727" spans="27:35" ht="18">
      <c r="AA1727" s="116"/>
      <c r="AB1727" s="87"/>
      <c r="AC1727" s="116"/>
      <c r="AD1727" s="116"/>
      <c r="AE1727" s="116"/>
      <c r="AF1727" s="116"/>
      <c r="AG1727" s="116"/>
      <c r="AH1727" s="116"/>
      <c r="AI1727" s="116"/>
    </row>
    <row r="1728" spans="27:35" ht="18">
      <c r="AA1728" s="116"/>
      <c r="AB1728" s="87"/>
      <c r="AC1728" s="116"/>
      <c r="AD1728" s="116"/>
      <c r="AE1728" s="116"/>
      <c r="AF1728" s="116"/>
      <c r="AG1728" s="116"/>
      <c r="AH1728" s="116"/>
      <c r="AI1728" s="116"/>
    </row>
    <row r="1729" spans="27:35" ht="18">
      <c r="AA1729" s="116"/>
      <c r="AB1729" s="87"/>
      <c r="AC1729" s="116"/>
      <c r="AD1729" s="116"/>
      <c r="AE1729" s="116"/>
      <c r="AF1729" s="116"/>
      <c r="AG1729" s="116"/>
      <c r="AH1729" s="116"/>
      <c r="AI1729" s="116"/>
    </row>
    <row r="1730" spans="27:35" ht="18">
      <c r="AA1730" s="116"/>
      <c r="AB1730" s="87"/>
      <c r="AC1730" s="116"/>
      <c r="AD1730" s="116"/>
      <c r="AE1730" s="116"/>
      <c r="AF1730" s="116"/>
      <c r="AG1730" s="116"/>
      <c r="AH1730" s="116"/>
      <c r="AI1730" s="116"/>
    </row>
    <row r="1731" spans="27:35" ht="18">
      <c r="AA1731" s="116"/>
      <c r="AB1731" s="87"/>
      <c r="AC1731" s="116"/>
      <c r="AD1731" s="116"/>
      <c r="AE1731" s="116"/>
      <c r="AF1731" s="116"/>
      <c r="AG1731" s="116"/>
      <c r="AH1731" s="116"/>
      <c r="AI1731" s="116"/>
    </row>
    <row r="1732" spans="27:35" ht="18">
      <c r="AA1732" s="116"/>
      <c r="AB1732" s="87"/>
      <c r="AC1732" s="116"/>
      <c r="AD1732" s="116"/>
      <c r="AE1732" s="116"/>
      <c r="AF1732" s="116"/>
      <c r="AG1732" s="116"/>
      <c r="AH1732" s="116"/>
      <c r="AI1732" s="116"/>
    </row>
    <row r="1733" spans="27:35" ht="18">
      <c r="AA1733" s="116"/>
      <c r="AB1733" s="87"/>
      <c r="AC1733" s="116"/>
      <c r="AD1733" s="116"/>
      <c r="AE1733" s="116"/>
      <c r="AF1733" s="116"/>
      <c r="AG1733" s="116"/>
      <c r="AH1733" s="116"/>
      <c r="AI1733" s="116"/>
    </row>
    <row r="1734" spans="27:35" ht="18">
      <c r="AA1734" s="116"/>
      <c r="AB1734" s="87"/>
      <c r="AC1734" s="116"/>
      <c r="AD1734" s="116"/>
      <c r="AE1734" s="116"/>
      <c r="AF1734" s="116"/>
      <c r="AG1734" s="116"/>
      <c r="AH1734" s="116"/>
      <c r="AI1734" s="116"/>
    </row>
    <row r="1735" spans="27:35" ht="18">
      <c r="AA1735" s="116"/>
      <c r="AB1735" s="87"/>
      <c r="AC1735" s="116"/>
      <c r="AD1735" s="116"/>
      <c r="AE1735" s="116"/>
      <c r="AF1735" s="116"/>
      <c r="AG1735" s="116"/>
      <c r="AH1735" s="116"/>
      <c r="AI1735" s="116"/>
    </row>
    <row r="1736" spans="27:35" ht="18">
      <c r="AA1736" s="116"/>
      <c r="AB1736" s="87"/>
      <c r="AC1736" s="116"/>
      <c r="AD1736" s="116"/>
      <c r="AE1736" s="116"/>
      <c r="AF1736" s="116"/>
      <c r="AG1736" s="116"/>
      <c r="AH1736" s="116"/>
      <c r="AI1736" s="116"/>
    </row>
    <row r="1737" spans="27:35" ht="18">
      <c r="AA1737" s="116"/>
      <c r="AB1737" s="87"/>
      <c r="AC1737" s="116"/>
      <c r="AD1737" s="116"/>
      <c r="AE1737" s="116"/>
      <c r="AF1737" s="116"/>
      <c r="AG1737" s="116"/>
      <c r="AH1737" s="116"/>
      <c r="AI1737" s="116"/>
    </row>
    <row r="1738" spans="27:35" ht="18">
      <c r="AA1738" s="116"/>
      <c r="AB1738" s="87"/>
      <c r="AC1738" s="116"/>
      <c r="AD1738" s="116"/>
      <c r="AE1738" s="116"/>
      <c r="AF1738" s="116"/>
      <c r="AG1738" s="116"/>
      <c r="AH1738" s="116"/>
      <c r="AI1738" s="116"/>
    </row>
    <row r="1739" spans="27:35" ht="18">
      <c r="AA1739" s="116"/>
      <c r="AB1739" s="87"/>
      <c r="AC1739" s="116"/>
      <c r="AD1739" s="116"/>
      <c r="AE1739" s="116"/>
      <c r="AF1739" s="116"/>
      <c r="AG1739" s="116"/>
      <c r="AH1739" s="116"/>
      <c r="AI1739" s="116"/>
    </row>
    <row r="1740" spans="27:35" ht="18">
      <c r="AA1740" s="116"/>
      <c r="AB1740" s="87"/>
      <c r="AC1740" s="116"/>
      <c r="AD1740" s="116"/>
      <c r="AE1740" s="116"/>
      <c r="AF1740" s="116"/>
      <c r="AG1740" s="116"/>
      <c r="AH1740" s="116"/>
      <c r="AI1740" s="116"/>
    </row>
    <row r="1741" spans="27:35" ht="18">
      <c r="AA1741" s="116"/>
      <c r="AB1741" s="87"/>
      <c r="AC1741" s="116"/>
      <c r="AD1741" s="116"/>
      <c r="AE1741" s="116"/>
      <c r="AF1741" s="116"/>
      <c r="AG1741" s="116"/>
      <c r="AH1741" s="116"/>
      <c r="AI1741" s="116"/>
    </row>
    <row r="1742" spans="27:35" ht="18">
      <c r="AA1742" s="116"/>
      <c r="AB1742" s="87"/>
      <c r="AC1742" s="116"/>
      <c r="AD1742" s="116"/>
      <c r="AE1742" s="116"/>
      <c r="AF1742" s="116"/>
      <c r="AG1742" s="116"/>
      <c r="AH1742" s="116"/>
      <c r="AI1742" s="116"/>
    </row>
    <row r="1743" spans="27:35" ht="18">
      <c r="AA1743" s="116"/>
      <c r="AB1743" s="87"/>
      <c r="AC1743" s="116"/>
      <c r="AD1743" s="116"/>
      <c r="AE1743" s="116"/>
      <c r="AF1743" s="116"/>
      <c r="AG1743" s="116"/>
      <c r="AH1743" s="116"/>
      <c r="AI1743" s="116"/>
    </row>
    <row r="1744" spans="27:35" ht="18">
      <c r="AA1744" s="116"/>
      <c r="AB1744" s="87"/>
      <c r="AC1744" s="116"/>
      <c r="AD1744" s="116"/>
      <c r="AE1744" s="116"/>
      <c r="AF1744" s="116"/>
      <c r="AG1744" s="116"/>
      <c r="AH1744" s="116"/>
      <c r="AI1744" s="116"/>
    </row>
    <row r="1745" spans="27:35" ht="18">
      <c r="AA1745" s="116"/>
      <c r="AB1745" s="87"/>
      <c r="AC1745" s="116"/>
      <c r="AD1745" s="116"/>
      <c r="AE1745" s="116"/>
      <c r="AF1745" s="116"/>
      <c r="AG1745" s="116"/>
      <c r="AH1745" s="116"/>
      <c r="AI1745" s="116"/>
    </row>
    <row r="1746" spans="27:35" ht="18">
      <c r="AA1746" s="116"/>
      <c r="AB1746" s="87"/>
      <c r="AC1746" s="116"/>
      <c r="AD1746" s="116"/>
      <c r="AE1746" s="116"/>
      <c r="AF1746" s="116"/>
      <c r="AG1746" s="116"/>
      <c r="AH1746" s="116"/>
      <c r="AI1746" s="116"/>
    </row>
    <row r="1747" spans="27:35" ht="18">
      <c r="AA1747" s="116"/>
      <c r="AB1747" s="87"/>
      <c r="AC1747" s="116"/>
      <c r="AD1747" s="116"/>
      <c r="AE1747" s="116"/>
      <c r="AF1747" s="116"/>
      <c r="AG1747" s="116"/>
      <c r="AH1747" s="116"/>
      <c r="AI1747" s="116"/>
    </row>
    <row r="1748" spans="27:35" ht="18">
      <c r="AA1748" s="116"/>
      <c r="AB1748" s="87"/>
      <c r="AC1748" s="116"/>
      <c r="AD1748" s="116"/>
      <c r="AE1748" s="116"/>
      <c r="AF1748" s="116"/>
      <c r="AG1748" s="116"/>
      <c r="AH1748" s="116"/>
      <c r="AI1748" s="116"/>
    </row>
    <row r="1749" spans="27:35" ht="18">
      <c r="AA1749" s="116"/>
      <c r="AB1749" s="184"/>
      <c r="AC1749" s="116"/>
      <c r="AD1749" s="116"/>
      <c r="AE1749" s="116"/>
      <c r="AF1749" s="116"/>
      <c r="AG1749" s="116"/>
      <c r="AH1749" s="116"/>
      <c r="AI1749" s="116"/>
    </row>
    <row r="1750" spans="27:35" ht="18">
      <c r="AA1750" s="116"/>
      <c r="AB1750" s="87"/>
      <c r="AC1750" s="116"/>
      <c r="AD1750" s="116"/>
      <c r="AE1750" s="116"/>
      <c r="AF1750" s="116"/>
      <c r="AG1750" s="116"/>
      <c r="AH1750" s="116"/>
      <c r="AI1750" s="116"/>
    </row>
    <row r="1751" spans="27:35" ht="18">
      <c r="AA1751" s="116"/>
      <c r="AB1751" s="87"/>
      <c r="AC1751" s="116"/>
      <c r="AD1751" s="116"/>
      <c r="AE1751" s="116"/>
      <c r="AF1751" s="116"/>
      <c r="AG1751" s="116"/>
      <c r="AH1751" s="116"/>
      <c r="AI1751" s="116"/>
    </row>
    <row r="1752" spans="27:35" ht="18">
      <c r="AA1752" s="116"/>
      <c r="AB1752" s="87"/>
      <c r="AC1752" s="116"/>
      <c r="AD1752" s="116"/>
      <c r="AE1752" s="116"/>
      <c r="AF1752" s="116"/>
      <c r="AG1752" s="116"/>
      <c r="AH1752" s="116"/>
      <c r="AI1752" s="116"/>
    </row>
    <row r="1753" spans="27:35" ht="18">
      <c r="AA1753" s="116"/>
      <c r="AB1753" s="87"/>
      <c r="AC1753" s="116"/>
      <c r="AD1753" s="116"/>
      <c r="AE1753" s="116"/>
      <c r="AF1753" s="116"/>
      <c r="AG1753" s="116"/>
      <c r="AH1753" s="116"/>
      <c r="AI1753" s="116"/>
    </row>
    <row r="1754" spans="27:35" ht="18">
      <c r="AA1754" s="116"/>
      <c r="AB1754" s="87"/>
      <c r="AC1754" s="116"/>
      <c r="AD1754" s="116"/>
      <c r="AE1754" s="116"/>
      <c r="AF1754" s="116"/>
      <c r="AG1754" s="116"/>
      <c r="AH1754" s="116"/>
      <c r="AI1754" s="116"/>
    </row>
    <row r="1755" spans="27:35" ht="18">
      <c r="AA1755" s="116"/>
      <c r="AB1755" s="87"/>
      <c r="AC1755" s="116"/>
      <c r="AD1755" s="116"/>
      <c r="AE1755" s="116"/>
      <c r="AF1755" s="116"/>
      <c r="AG1755" s="116"/>
      <c r="AH1755" s="116"/>
      <c r="AI1755" s="116"/>
    </row>
    <row r="1756" spans="27:35" ht="18">
      <c r="AA1756" s="116"/>
      <c r="AB1756" s="87"/>
      <c r="AC1756" s="116"/>
      <c r="AD1756" s="116"/>
      <c r="AE1756" s="116"/>
      <c r="AF1756" s="116"/>
      <c r="AG1756" s="116"/>
      <c r="AH1756" s="116"/>
      <c r="AI1756" s="116"/>
    </row>
    <row r="1757" spans="27:35" ht="18">
      <c r="AA1757" s="116"/>
      <c r="AB1757" s="87"/>
      <c r="AC1757" s="116"/>
      <c r="AD1757" s="116"/>
      <c r="AE1757" s="116"/>
      <c r="AF1757" s="116"/>
      <c r="AG1757" s="116"/>
      <c r="AH1757" s="116"/>
      <c r="AI1757" s="116"/>
    </row>
    <row r="1758" spans="27:35" ht="18">
      <c r="AA1758" s="116"/>
      <c r="AB1758" s="87"/>
      <c r="AC1758" s="116"/>
      <c r="AD1758" s="116"/>
      <c r="AE1758" s="116"/>
      <c r="AF1758" s="116"/>
      <c r="AG1758" s="116"/>
      <c r="AH1758" s="116"/>
      <c r="AI1758" s="116"/>
    </row>
    <row r="1759" spans="27:35" ht="18">
      <c r="AA1759" s="116"/>
      <c r="AB1759" s="87"/>
      <c r="AC1759" s="116"/>
      <c r="AD1759" s="116"/>
      <c r="AE1759" s="116"/>
      <c r="AF1759" s="116"/>
      <c r="AG1759" s="116"/>
      <c r="AH1759" s="116"/>
      <c r="AI1759" s="116"/>
    </row>
    <row r="1760" spans="27:35" ht="18">
      <c r="AA1760" s="116"/>
      <c r="AB1760" s="87"/>
      <c r="AC1760" s="116"/>
      <c r="AD1760" s="116"/>
      <c r="AE1760" s="116"/>
      <c r="AF1760" s="116"/>
      <c r="AG1760" s="116"/>
      <c r="AH1760" s="116"/>
      <c r="AI1760" s="116"/>
    </row>
    <row r="1761" spans="27:35" ht="18">
      <c r="AA1761" s="116"/>
      <c r="AB1761" s="87"/>
      <c r="AC1761" s="116"/>
      <c r="AD1761" s="116"/>
      <c r="AE1761" s="116"/>
      <c r="AF1761" s="116"/>
      <c r="AG1761" s="116"/>
      <c r="AH1761" s="116"/>
      <c r="AI1761" s="116"/>
    </row>
    <row r="1762" spans="27:35" ht="18">
      <c r="AA1762" s="116"/>
      <c r="AB1762" s="87"/>
      <c r="AC1762" s="116"/>
      <c r="AD1762" s="116"/>
      <c r="AE1762" s="116"/>
      <c r="AF1762" s="116"/>
      <c r="AG1762" s="116"/>
      <c r="AH1762" s="116"/>
      <c r="AI1762" s="116"/>
    </row>
    <row r="1763" spans="27:35" ht="18">
      <c r="AA1763" s="116"/>
      <c r="AB1763" s="87"/>
      <c r="AC1763" s="116"/>
      <c r="AD1763" s="116"/>
      <c r="AE1763" s="116"/>
      <c r="AF1763" s="116"/>
      <c r="AG1763" s="116"/>
      <c r="AH1763" s="116"/>
      <c r="AI1763" s="116"/>
    </row>
    <row r="1764" spans="27:35" ht="18">
      <c r="AA1764" s="116"/>
      <c r="AB1764" s="87"/>
      <c r="AC1764" s="116"/>
      <c r="AD1764" s="116"/>
      <c r="AE1764" s="116"/>
      <c r="AF1764" s="116"/>
      <c r="AG1764" s="116"/>
      <c r="AH1764" s="116"/>
      <c r="AI1764" s="116"/>
    </row>
    <row r="1765" spans="27:35" ht="18">
      <c r="AA1765" s="116"/>
      <c r="AB1765" s="87"/>
      <c r="AC1765" s="116"/>
      <c r="AD1765" s="116"/>
      <c r="AE1765" s="116"/>
      <c r="AF1765" s="116"/>
      <c r="AG1765" s="116"/>
      <c r="AH1765" s="116"/>
      <c r="AI1765" s="116"/>
    </row>
    <row r="1766" spans="27:35" ht="18">
      <c r="AA1766" s="116"/>
      <c r="AB1766" s="87"/>
      <c r="AC1766" s="116"/>
      <c r="AD1766" s="116"/>
      <c r="AE1766" s="116"/>
      <c r="AF1766" s="116"/>
      <c r="AG1766" s="116"/>
      <c r="AH1766" s="116"/>
      <c r="AI1766" s="116"/>
    </row>
    <row r="1767" spans="27:35" ht="18">
      <c r="AA1767" s="116"/>
      <c r="AB1767" s="87"/>
      <c r="AC1767" s="116"/>
      <c r="AD1767" s="116"/>
      <c r="AE1767" s="116"/>
      <c r="AF1767" s="116"/>
      <c r="AG1767" s="116"/>
      <c r="AH1767" s="116"/>
      <c r="AI1767" s="116"/>
    </row>
    <row r="1768" spans="27:35" ht="18">
      <c r="AA1768" s="116"/>
      <c r="AB1768" s="87"/>
      <c r="AC1768" s="116"/>
      <c r="AD1768" s="116"/>
      <c r="AE1768" s="116"/>
      <c r="AF1768" s="116"/>
      <c r="AG1768" s="116"/>
      <c r="AH1768" s="116"/>
      <c r="AI1768" s="116"/>
    </row>
    <row r="1769" spans="27:35" ht="18">
      <c r="AA1769" s="116"/>
      <c r="AB1769" s="87"/>
      <c r="AC1769" s="116"/>
      <c r="AD1769" s="116"/>
      <c r="AE1769" s="116"/>
      <c r="AF1769" s="116"/>
      <c r="AG1769" s="116"/>
      <c r="AH1769" s="116"/>
      <c r="AI1769" s="116"/>
    </row>
    <row r="1770" spans="27:35" ht="18">
      <c r="AA1770" s="116"/>
      <c r="AB1770" s="87"/>
      <c r="AC1770" s="116"/>
      <c r="AD1770" s="116"/>
      <c r="AE1770" s="116"/>
      <c r="AF1770" s="116"/>
      <c r="AG1770" s="116"/>
      <c r="AH1770" s="116"/>
      <c r="AI1770" s="116"/>
    </row>
    <row r="1771" spans="27:35" ht="18">
      <c r="AA1771" s="116"/>
      <c r="AB1771" s="87"/>
      <c r="AC1771" s="116"/>
      <c r="AD1771" s="116"/>
      <c r="AE1771" s="116"/>
      <c r="AF1771" s="116"/>
      <c r="AG1771" s="116"/>
      <c r="AH1771" s="116"/>
      <c r="AI1771" s="116"/>
    </row>
    <row r="1772" spans="27:35" ht="18">
      <c r="AA1772" s="116"/>
      <c r="AB1772" s="87"/>
      <c r="AC1772" s="116"/>
      <c r="AD1772" s="116"/>
      <c r="AE1772" s="116"/>
      <c r="AF1772" s="116"/>
      <c r="AG1772" s="116"/>
      <c r="AH1772" s="116"/>
      <c r="AI1772" s="116"/>
    </row>
    <row r="1773" spans="27:35" ht="18">
      <c r="AA1773" s="116"/>
      <c r="AB1773" s="87"/>
      <c r="AC1773" s="116"/>
      <c r="AD1773" s="116"/>
      <c r="AE1773" s="116"/>
      <c r="AF1773" s="116"/>
      <c r="AG1773" s="116"/>
      <c r="AH1773" s="116"/>
      <c r="AI1773" s="116"/>
    </row>
    <row r="1774" spans="27:35" ht="18">
      <c r="AA1774" s="116"/>
      <c r="AB1774" s="87"/>
      <c r="AC1774" s="116"/>
      <c r="AD1774" s="116"/>
      <c r="AE1774" s="116"/>
      <c r="AF1774" s="116"/>
      <c r="AG1774" s="116"/>
      <c r="AH1774" s="116"/>
      <c r="AI1774" s="116"/>
    </row>
    <row r="1775" spans="27:35" ht="18">
      <c r="AA1775" s="116"/>
      <c r="AB1775" s="87"/>
      <c r="AC1775" s="116"/>
      <c r="AD1775" s="116"/>
      <c r="AE1775" s="116"/>
      <c r="AF1775" s="116"/>
      <c r="AG1775" s="116"/>
      <c r="AH1775" s="116"/>
      <c r="AI1775" s="116"/>
    </row>
    <row r="1776" spans="27:35" ht="18">
      <c r="AA1776" s="116"/>
      <c r="AB1776" s="87"/>
      <c r="AC1776" s="116"/>
      <c r="AD1776" s="116"/>
      <c r="AE1776" s="116"/>
      <c r="AF1776" s="116"/>
      <c r="AG1776" s="116"/>
      <c r="AH1776" s="116"/>
      <c r="AI1776" s="116"/>
    </row>
    <row r="1777" spans="27:35" ht="18">
      <c r="AA1777" s="116"/>
      <c r="AB1777" s="87"/>
      <c r="AC1777" s="116"/>
      <c r="AD1777" s="116"/>
      <c r="AE1777" s="116"/>
      <c r="AF1777" s="116"/>
      <c r="AG1777" s="116"/>
      <c r="AH1777" s="116"/>
      <c r="AI1777" s="116"/>
    </row>
    <row r="1778" spans="27:35" ht="18">
      <c r="AA1778" s="116"/>
      <c r="AB1778" s="87"/>
      <c r="AC1778" s="116"/>
      <c r="AD1778" s="116"/>
      <c r="AE1778" s="116"/>
      <c r="AF1778" s="116"/>
      <c r="AG1778" s="116"/>
      <c r="AH1778" s="116"/>
      <c r="AI1778" s="116"/>
    </row>
    <row r="1779" spans="27:35" ht="18">
      <c r="AA1779" s="116"/>
      <c r="AB1779" s="87"/>
      <c r="AC1779" s="116"/>
      <c r="AD1779" s="116"/>
      <c r="AE1779" s="116"/>
      <c r="AF1779" s="116"/>
      <c r="AG1779" s="116"/>
      <c r="AH1779" s="116"/>
      <c r="AI1779" s="116"/>
    </row>
    <row r="1780" spans="27:35" ht="18">
      <c r="AA1780" s="116"/>
      <c r="AB1780" s="87"/>
      <c r="AC1780" s="116"/>
      <c r="AD1780" s="116"/>
      <c r="AE1780" s="116"/>
      <c r="AF1780" s="116"/>
      <c r="AG1780" s="116"/>
      <c r="AH1780" s="116"/>
      <c r="AI1780" s="116"/>
    </row>
    <row r="1781" spans="27:35" ht="18">
      <c r="AA1781" s="116"/>
      <c r="AB1781" s="87"/>
      <c r="AC1781" s="116"/>
      <c r="AD1781" s="116"/>
      <c r="AE1781" s="116"/>
      <c r="AF1781" s="116"/>
      <c r="AG1781" s="116"/>
      <c r="AH1781" s="116"/>
      <c r="AI1781" s="116"/>
    </row>
    <row r="1782" spans="27:35" ht="18">
      <c r="AA1782" s="116"/>
      <c r="AB1782" s="87"/>
      <c r="AC1782" s="116"/>
      <c r="AD1782" s="116"/>
      <c r="AE1782" s="116"/>
      <c r="AF1782" s="116"/>
      <c r="AG1782" s="116"/>
      <c r="AH1782" s="116"/>
      <c r="AI1782" s="116"/>
    </row>
    <row r="1783" spans="27:35" ht="18">
      <c r="AA1783" s="116"/>
      <c r="AB1783" s="87"/>
      <c r="AC1783" s="116"/>
      <c r="AD1783" s="116"/>
      <c r="AE1783" s="116"/>
      <c r="AF1783" s="116"/>
      <c r="AG1783" s="116"/>
      <c r="AH1783" s="116"/>
      <c r="AI1783" s="116"/>
    </row>
    <row r="1784" spans="27:35" ht="18">
      <c r="AA1784" s="116"/>
      <c r="AB1784" s="87"/>
      <c r="AC1784" s="116"/>
      <c r="AD1784" s="116"/>
      <c r="AE1784" s="116"/>
      <c r="AF1784" s="116"/>
      <c r="AG1784" s="116"/>
      <c r="AH1784" s="116"/>
      <c r="AI1784" s="116"/>
    </row>
    <row r="1785" spans="27:35" ht="18">
      <c r="AA1785" s="116"/>
      <c r="AB1785" s="87"/>
      <c r="AC1785" s="116"/>
      <c r="AD1785" s="116"/>
      <c r="AE1785" s="116"/>
      <c r="AF1785" s="116"/>
      <c r="AG1785" s="116"/>
      <c r="AH1785" s="116"/>
      <c r="AI1785" s="116"/>
    </row>
    <row r="1786" spans="27:35" ht="18">
      <c r="AA1786" s="116"/>
      <c r="AB1786" s="184"/>
      <c r="AC1786" s="116"/>
      <c r="AD1786" s="116"/>
      <c r="AE1786" s="116"/>
      <c r="AF1786" s="116"/>
      <c r="AG1786" s="116"/>
      <c r="AH1786" s="116"/>
      <c r="AI1786" s="116"/>
    </row>
    <row r="1787" spans="27:35" ht="18">
      <c r="AA1787" s="116"/>
      <c r="AB1787" s="87"/>
      <c r="AC1787" s="116"/>
      <c r="AD1787" s="116"/>
      <c r="AE1787" s="116"/>
      <c r="AF1787" s="116"/>
      <c r="AG1787" s="116"/>
      <c r="AH1787" s="116"/>
      <c r="AI1787" s="116"/>
    </row>
    <row r="1788" spans="27:35" ht="18">
      <c r="AA1788" s="116"/>
      <c r="AB1788" s="87"/>
      <c r="AC1788" s="116"/>
      <c r="AD1788" s="116"/>
      <c r="AE1788" s="116"/>
      <c r="AF1788" s="116"/>
      <c r="AG1788" s="116"/>
      <c r="AH1788" s="116"/>
      <c r="AI1788" s="116"/>
    </row>
    <row r="1789" spans="27:35" ht="18">
      <c r="AA1789" s="116"/>
      <c r="AB1789" s="87"/>
      <c r="AC1789" s="116"/>
      <c r="AD1789" s="116"/>
      <c r="AE1789" s="116"/>
      <c r="AF1789" s="116"/>
      <c r="AG1789" s="116"/>
      <c r="AH1789" s="116"/>
      <c r="AI1789" s="116"/>
    </row>
    <row r="1790" spans="27:35" ht="18">
      <c r="AA1790" s="116"/>
      <c r="AB1790" s="87"/>
      <c r="AC1790" s="116"/>
      <c r="AD1790" s="116"/>
      <c r="AE1790" s="116"/>
      <c r="AF1790" s="116"/>
      <c r="AG1790" s="116"/>
      <c r="AH1790" s="116"/>
      <c r="AI1790" s="116"/>
    </row>
    <row r="1791" spans="27:35" ht="18">
      <c r="AA1791" s="116"/>
      <c r="AB1791" s="87"/>
      <c r="AC1791" s="116"/>
      <c r="AD1791" s="116"/>
      <c r="AE1791" s="116"/>
      <c r="AF1791" s="116"/>
      <c r="AG1791" s="116"/>
      <c r="AH1791" s="116"/>
      <c r="AI1791" s="116"/>
    </row>
    <row r="1792" spans="27:35" ht="18">
      <c r="AA1792" s="116"/>
      <c r="AB1792" s="87"/>
      <c r="AC1792" s="116"/>
      <c r="AD1792" s="116"/>
      <c r="AE1792" s="116"/>
      <c r="AF1792" s="116"/>
      <c r="AG1792" s="116"/>
      <c r="AH1792" s="116"/>
      <c r="AI1792" s="116"/>
    </row>
    <row r="1793" spans="27:35" ht="18">
      <c r="AA1793" s="116"/>
      <c r="AB1793" s="87"/>
      <c r="AC1793" s="116"/>
      <c r="AD1793" s="116"/>
      <c r="AE1793" s="116"/>
      <c r="AF1793" s="116"/>
      <c r="AG1793" s="116"/>
      <c r="AH1793" s="116"/>
      <c r="AI1793" s="116"/>
    </row>
    <row r="1794" spans="27:35" ht="18">
      <c r="AA1794" s="116"/>
      <c r="AB1794" s="87"/>
      <c r="AC1794" s="116"/>
      <c r="AD1794" s="116"/>
      <c r="AE1794" s="116"/>
      <c r="AF1794" s="116"/>
      <c r="AG1794" s="116"/>
      <c r="AH1794" s="116"/>
      <c r="AI1794" s="116"/>
    </row>
    <row r="1795" spans="27:35" ht="18">
      <c r="AA1795" s="116"/>
      <c r="AB1795" s="87"/>
      <c r="AC1795" s="116"/>
      <c r="AD1795" s="116"/>
      <c r="AE1795" s="116"/>
      <c r="AF1795" s="116"/>
      <c r="AG1795" s="116"/>
      <c r="AH1795" s="116"/>
      <c r="AI1795" s="116"/>
    </row>
    <row r="1796" spans="27:35" ht="18">
      <c r="AA1796" s="116"/>
      <c r="AB1796" s="87"/>
      <c r="AC1796" s="116"/>
      <c r="AD1796" s="116"/>
      <c r="AE1796" s="116"/>
      <c r="AF1796" s="116"/>
      <c r="AG1796" s="116"/>
      <c r="AH1796" s="116"/>
      <c r="AI1796" s="116"/>
    </row>
    <row r="1797" spans="27:35" ht="18">
      <c r="AA1797" s="116"/>
      <c r="AB1797" s="87"/>
      <c r="AC1797" s="116"/>
      <c r="AD1797" s="116"/>
      <c r="AE1797" s="116"/>
      <c r="AF1797" s="116"/>
      <c r="AG1797" s="116"/>
      <c r="AH1797" s="116"/>
      <c r="AI1797" s="116"/>
    </row>
    <row r="1798" spans="27:35" ht="18">
      <c r="AA1798" s="116"/>
      <c r="AB1798" s="87"/>
      <c r="AC1798" s="116"/>
      <c r="AD1798" s="116"/>
      <c r="AE1798" s="116"/>
      <c r="AF1798" s="116"/>
      <c r="AG1798" s="116"/>
      <c r="AH1798" s="116"/>
      <c r="AI1798" s="116"/>
    </row>
    <row r="1799" spans="27:35" ht="18">
      <c r="AA1799" s="116"/>
      <c r="AB1799" s="87"/>
      <c r="AC1799" s="116"/>
      <c r="AD1799" s="116"/>
      <c r="AE1799" s="116"/>
      <c r="AF1799" s="116"/>
      <c r="AG1799" s="116"/>
      <c r="AH1799" s="116"/>
      <c r="AI1799" s="116"/>
    </row>
    <row r="1800" spans="27:35" ht="18">
      <c r="AA1800" s="116"/>
      <c r="AB1800" s="87"/>
      <c r="AC1800" s="116"/>
      <c r="AD1800" s="116"/>
      <c r="AE1800" s="116"/>
      <c r="AF1800" s="116"/>
      <c r="AG1800" s="116"/>
      <c r="AH1800" s="116"/>
      <c r="AI1800" s="116"/>
    </row>
    <row r="1801" spans="27:35" ht="18">
      <c r="AA1801" s="116"/>
      <c r="AB1801" s="184"/>
      <c r="AC1801" s="116"/>
      <c r="AD1801" s="116"/>
      <c r="AE1801" s="116"/>
      <c r="AF1801" s="116"/>
      <c r="AG1801" s="116"/>
      <c r="AH1801" s="116"/>
      <c r="AI1801" s="116"/>
    </row>
    <row r="1802" spans="27:35" ht="18">
      <c r="AA1802" s="116"/>
      <c r="AB1802" s="87"/>
      <c r="AC1802" s="116"/>
      <c r="AD1802" s="116"/>
      <c r="AE1802" s="116"/>
      <c r="AF1802" s="116"/>
      <c r="AG1802" s="116"/>
      <c r="AH1802" s="116"/>
      <c r="AI1802" s="116"/>
    </row>
    <row r="1803" spans="27:35" ht="18">
      <c r="AA1803" s="116"/>
      <c r="AB1803" s="87"/>
      <c r="AC1803" s="116"/>
      <c r="AD1803" s="116"/>
      <c r="AE1803" s="116"/>
      <c r="AF1803" s="116"/>
      <c r="AG1803" s="116"/>
      <c r="AH1803" s="116"/>
      <c r="AI1803" s="116"/>
    </row>
    <row r="1804" spans="27:35" ht="18">
      <c r="AA1804" s="116"/>
      <c r="AB1804" s="87"/>
      <c r="AC1804" s="116"/>
      <c r="AD1804" s="116"/>
      <c r="AE1804" s="116"/>
      <c r="AF1804" s="116"/>
      <c r="AG1804" s="116"/>
      <c r="AH1804" s="116"/>
      <c r="AI1804" s="116"/>
    </row>
    <row r="1805" spans="27:35" ht="18">
      <c r="AA1805" s="116"/>
      <c r="AB1805" s="87"/>
      <c r="AC1805" s="116"/>
      <c r="AD1805" s="116"/>
      <c r="AE1805" s="116"/>
      <c r="AF1805" s="116"/>
      <c r="AG1805" s="116"/>
      <c r="AH1805" s="116"/>
      <c r="AI1805" s="116"/>
    </row>
    <row r="1806" spans="27:35" ht="18">
      <c r="AA1806" s="116"/>
      <c r="AB1806" s="87"/>
      <c r="AC1806" s="116"/>
      <c r="AD1806" s="116"/>
      <c r="AE1806" s="116"/>
      <c r="AF1806" s="116"/>
      <c r="AG1806" s="116"/>
      <c r="AH1806" s="116"/>
      <c r="AI1806" s="116"/>
    </row>
    <row r="1807" spans="27:35" ht="18">
      <c r="AA1807" s="116"/>
      <c r="AB1807" s="87"/>
      <c r="AC1807" s="116"/>
      <c r="AD1807" s="116"/>
      <c r="AE1807" s="116"/>
      <c r="AF1807" s="116"/>
      <c r="AG1807" s="116"/>
      <c r="AH1807" s="116"/>
      <c r="AI1807" s="116"/>
    </row>
    <row r="1808" spans="27:35" ht="18">
      <c r="AA1808" s="116"/>
      <c r="AB1808" s="184"/>
      <c r="AC1808" s="116"/>
      <c r="AD1808" s="116"/>
      <c r="AE1808" s="116"/>
      <c r="AF1808" s="116"/>
      <c r="AG1808" s="116"/>
      <c r="AH1808" s="116"/>
      <c r="AI1808" s="116"/>
    </row>
    <row r="1809" spans="27:35" ht="18">
      <c r="AA1809" s="116"/>
      <c r="AB1809" s="87"/>
      <c r="AC1809" s="116"/>
      <c r="AD1809" s="116"/>
      <c r="AE1809" s="116"/>
      <c r="AF1809" s="116"/>
      <c r="AG1809" s="116"/>
      <c r="AH1809" s="116"/>
      <c r="AI1809" s="116"/>
    </row>
    <row r="1810" spans="27:35" ht="18">
      <c r="AA1810" s="116"/>
      <c r="AB1810" s="87"/>
      <c r="AC1810" s="116"/>
      <c r="AD1810" s="116"/>
      <c r="AE1810" s="116"/>
      <c r="AF1810" s="116"/>
      <c r="AG1810" s="116"/>
      <c r="AH1810" s="116"/>
      <c r="AI1810" s="116"/>
    </row>
    <row r="1811" spans="27:35" ht="18">
      <c r="AA1811" s="116"/>
      <c r="AB1811" s="87"/>
      <c r="AC1811" s="116"/>
      <c r="AD1811" s="116"/>
      <c r="AE1811" s="116"/>
      <c r="AF1811" s="116"/>
      <c r="AG1811" s="116"/>
      <c r="AH1811" s="116"/>
      <c r="AI1811" s="116"/>
    </row>
    <row r="1812" spans="27:35" ht="18">
      <c r="AA1812" s="116"/>
      <c r="AB1812" s="87"/>
      <c r="AC1812" s="116"/>
      <c r="AD1812" s="116"/>
      <c r="AE1812" s="116"/>
      <c r="AF1812" s="116"/>
      <c r="AG1812" s="116"/>
      <c r="AH1812" s="116"/>
      <c r="AI1812" s="116"/>
    </row>
    <row r="1813" spans="27:35" ht="18">
      <c r="AA1813" s="116"/>
      <c r="AB1813" s="87"/>
      <c r="AC1813" s="116"/>
      <c r="AD1813" s="116"/>
      <c r="AE1813" s="116"/>
      <c r="AF1813" s="116"/>
      <c r="AG1813" s="116"/>
      <c r="AH1813" s="116"/>
      <c r="AI1813" s="116"/>
    </row>
    <row r="1814" spans="27:35" ht="18">
      <c r="AA1814" s="116"/>
      <c r="AB1814" s="87"/>
      <c r="AC1814" s="116"/>
      <c r="AD1814" s="116"/>
      <c r="AE1814" s="116"/>
      <c r="AF1814" s="116"/>
      <c r="AG1814" s="116"/>
      <c r="AH1814" s="116"/>
      <c r="AI1814" s="116"/>
    </row>
    <row r="1815" spans="27:35" ht="18">
      <c r="AA1815" s="116"/>
      <c r="AB1815" s="87"/>
      <c r="AC1815" s="116"/>
      <c r="AD1815" s="116"/>
      <c r="AE1815" s="116"/>
      <c r="AF1815" s="116"/>
      <c r="AG1815" s="116"/>
      <c r="AH1815" s="116"/>
      <c r="AI1815" s="116"/>
    </row>
    <row r="1816" spans="27:35" ht="18">
      <c r="AA1816" s="116"/>
      <c r="AB1816" s="87"/>
      <c r="AC1816" s="116"/>
      <c r="AD1816" s="116"/>
      <c r="AE1816" s="116"/>
      <c r="AF1816" s="116"/>
      <c r="AG1816" s="116"/>
      <c r="AH1816" s="116"/>
      <c r="AI1816" s="116"/>
    </row>
    <row r="1817" spans="27:35" ht="18">
      <c r="AA1817" s="116"/>
      <c r="AB1817" s="87"/>
      <c r="AC1817" s="116"/>
      <c r="AD1817" s="116"/>
      <c r="AE1817" s="116"/>
      <c r="AF1817" s="116"/>
      <c r="AG1817" s="116"/>
      <c r="AH1817" s="116"/>
      <c r="AI1817" s="116"/>
    </row>
    <row r="1818" spans="27:35" ht="18">
      <c r="AA1818" s="116"/>
      <c r="AB1818" s="87"/>
      <c r="AC1818" s="116"/>
      <c r="AD1818" s="116"/>
      <c r="AE1818" s="116"/>
      <c r="AF1818" s="116"/>
      <c r="AG1818" s="116"/>
      <c r="AH1818" s="116"/>
      <c r="AI1818" s="116"/>
    </row>
    <row r="1819" spans="27:35" ht="18">
      <c r="AA1819" s="116"/>
      <c r="AB1819" s="87"/>
      <c r="AC1819" s="116"/>
      <c r="AD1819" s="116"/>
      <c r="AE1819" s="116"/>
      <c r="AF1819" s="116"/>
      <c r="AG1819" s="116"/>
      <c r="AH1819" s="116"/>
      <c r="AI1819" s="116"/>
    </row>
    <row r="1820" spans="27:35" ht="18">
      <c r="AA1820" s="116"/>
      <c r="AB1820" s="87"/>
      <c r="AC1820" s="116"/>
      <c r="AD1820" s="116"/>
      <c r="AE1820" s="116"/>
      <c r="AF1820" s="116"/>
      <c r="AG1820" s="116"/>
      <c r="AH1820" s="116"/>
      <c r="AI1820" s="116"/>
    </row>
    <row r="1821" spans="27:35" ht="18">
      <c r="AA1821" s="116"/>
      <c r="AB1821" s="87"/>
      <c r="AC1821" s="116"/>
      <c r="AD1821" s="116"/>
      <c r="AE1821" s="116"/>
      <c r="AF1821" s="116"/>
      <c r="AG1821" s="116"/>
      <c r="AH1821" s="116"/>
      <c r="AI1821" s="116"/>
    </row>
    <row r="1822" spans="27:35" ht="18">
      <c r="AA1822" s="116"/>
      <c r="AB1822" s="87"/>
      <c r="AC1822" s="116"/>
      <c r="AD1822" s="116"/>
      <c r="AE1822" s="116"/>
      <c r="AF1822" s="116"/>
      <c r="AG1822" s="116"/>
      <c r="AH1822" s="116"/>
      <c r="AI1822" s="116"/>
    </row>
    <row r="1823" spans="27:35" ht="18">
      <c r="AA1823" s="116"/>
      <c r="AB1823" s="87"/>
      <c r="AC1823" s="116"/>
      <c r="AD1823" s="116"/>
      <c r="AE1823" s="116"/>
      <c r="AF1823" s="116"/>
      <c r="AG1823" s="116"/>
      <c r="AH1823" s="116"/>
      <c r="AI1823" s="116"/>
    </row>
    <row r="1824" spans="27:35" ht="18">
      <c r="AA1824" s="116"/>
      <c r="AB1824" s="87"/>
      <c r="AC1824" s="116"/>
      <c r="AD1824" s="116"/>
      <c r="AE1824" s="116"/>
      <c r="AF1824" s="116"/>
      <c r="AG1824" s="116"/>
      <c r="AH1824" s="116"/>
      <c r="AI1824" s="116"/>
    </row>
    <row r="1825" spans="27:35" ht="18">
      <c r="AA1825" s="116"/>
      <c r="AB1825" s="87"/>
      <c r="AC1825" s="116"/>
      <c r="AD1825" s="116"/>
      <c r="AE1825" s="116"/>
      <c r="AF1825" s="116"/>
      <c r="AG1825" s="116"/>
      <c r="AH1825" s="116"/>
      <c r="AI1825" s="116"/>
    </row>
    <row r="1826" spans="27:35" ht="18">
      <c r="AA1826" s="116"/>
      <c r="AB1826" s="87"/>
      <c r="AC1826" s="116"/>
      <c r="AD1826" s="116"/>
      <c r="AE1826" s="116"/>
      <c r="AF1826" s="116"/>
      <c r="AG1826" s="116"/>
      <c r="AH1826" s="116"/>
      <c r="AI1826" s="116"/>
    </row>
    <row r="1827" spans="27:35" ht="18">
      <c r="AA1827" s="116"/>
      <c r="AB1827" s="87"/>
      <c r="AC1827" s="116"/>
      <c r="AD1827" s="116"/>
      <c r="AE1827" s="116"/>
      <c r="AF1827" s="116"/>
      <c r="AG1827" s="116"/>
      <c r="AH1827" s="116"/>
      <c r="AI1827" s="116"/>
    </row>
    <row r="1828" spans="27:35" ht="18">
      <c r="AA1828" s="116"/>
      <c r="AB1828" s="87"/>
      <c r="AC1828" s="116"/>
      <c r="AD1828" s="116"/>
      <c r="AE1828" s="116"/>
      <c r="AF1828" s="116"/>
      <c r="AG1828" s="116"/>
      <c r="AH1828" s="116"/>
      <c r="AI1828" s="116"/>
    </row>
    <row r="1829" spans="27:35" ht="18">
      <c r="AA1829" s="116"/>
      <c r="AB1829" s="87"/>
      <c r="AC1829" s="116"/>
      <c r="AD1829" s="116"/>
      <c r="AE1829" s="116"/>
      <c r="AF1829" s="116"/>
      <c r="AG1829" s="116"/>
      <c r="AH1829" s="116"/>
      <c r="AI1829" s="116"/>
    </row>
    <row r="1830" spans="27:35" ht="18">
      <c r="AA1830" s="116"/>
      <c r="AB1830" s="87"/>
      <c r="AC1830" s="116"/>
      <c r="AD1830" s="116"/>
      <c r="AE1830" s="116"/>
      <c r="AF1830" s="116"/>
      <c r="AG1830" s="116"/>
      <c r="AH1830" s="116"/>
      <c r="AI1830" s="116"/>
    </row>
    <row r="1831" spans="27:35" ht="18">
      <c r="AA1831" s="116"/>
      <c r="AB1831" s="87"/>
      <c r="AC1831" s="116"/>
      <c r="AD1831" s="116"/>
      <c r="AE1831" s="116"/>
      <c r="AF1831" s="116"/>
      <c r="AG1831" s="116"/>
      <c r="AH1831" s="116"/>
      <c r="AI1831" s="116"/>
    </row>
    <row r="1832" spans="27:35" ht="18">
      <c r="AA1832" s="116"/>
      <c r="AB1832" s="87"/>
      <c r="AC1832" s="116"/>
      <c r="AD1832" s="116"/>
      <c r="AE1832" s="116"/>
      <c r="AF1832" s="116"/>
      <c r="AG1832" s="116"/>
      <c r="AH1832" s="116"/>
      <c r="AI1832" s="116"/>
    </row>
    <row r="1833" spans="27:35" ht="18">
      <c r="AA1833" s="116"/>
      <c r="AB1833" s="87"/>
      <c r="AC1833" s="116"/>
      <c r="AD1833" s="116"/>
      <c r="AE1833" s="116"/>
      <c r="AF1833" s="116"/>
      <c r="AG1833" s="116"/>
      <c r="AH1833" s="116"/>
      <c r="AI1833" s="116"/>
    </row>
    <row r="1834" spans="27:35" ht="18">
      <c r="AA1834" s="116"/>
      <c r="AB1834" s="184"/>
      <c r="AC1834" s="116"/>
      <c r="AD1834" s="116"/>
      <c r="AE1834" s="116"/>
      <c r="AF1834" s="116"/>
      <c r="AG1834" s="116"/>
      <c r="AH1834" s="116"/>
      <c r="AI1834" s="116"/>
    </row>
    <row r="1835" spans="27:35" ht="18">
      <c r="AA1835" s="116"/>
      <c r="AB1835" s="87"/>
      <c r="AC1835" s="116"/>
      <c r="AD1835" s="116"/>
      <c r="AE1835" s="116"/>
      <c r="AF1835" s="116"/>
      <c r="AG1835" s="116"/>
      <c r="AH1835" s="116"/>
      <c r="AI1835" s="116"/>
    </row>
    <row r="1836" spans="27:35" ht="18">
      <c r="AA1836" s="116"/>
      <c r="AB1836" s="87"/>
      <c r="AC1836" s="116"/>
      <c r="AD1836" s="116"/>
      <c r="AE1836" s="116"/>
      <c r="AF1836" s="116"/>
      <c r="AG1836" s="116"/>
      <c r="AH1836" s="116"/>
      <c r="AI1836" s="116"/>
    </row>
    <row r="1837" spans="27:35" ht="18">
      <c r="AA1837" s="116"/>
      <c r="AB1837" s="184"/>
      <c r="AC1837" s="116"/>
      <c r="AD1837" s="116"/>
      <c r="AE1837" s="116"/>
      <c r="AF1837" s="116"/>
      <c r="AG1837" s="116"/>
      <c r="AH1837" s="116"/>
      <c r="AI1837" s="116"/>
    </row>
    <row r="1838" spans="27:35" ht="18">
      <c r="AA1838" s="116"/>
      <c r="AB1838" s="87"/>
      <c r="AC1838" s="116"/>
      <c r="AD1838" s="116"/>
      <c r="AE1838" s="116"/>
      <c r="AF1838" s="116"/>
      <c r="AG1838" s="116"/>
      <c r="AH1838" s="116"/>
      <c r="AI1838" s="116"/>
    </row>
    <row r="1839" spans="27:35" ht="18">
      <c r="AA1839" s="116"/>
      <c r="AB1839" s="87"/>
      <c r="AC1839" s="116"/>
      <c r="AD1839" s="116"/>
      <c r="AE1839" s="116"/>
      <c r="AF1839" s="116"/>
      <c r="AG1839" s="116"/>
      <c r="AH1839" s="116"/>
      <c r="AI1839" s="116"/>
    </row>
    <row r="1840" spans="27:35" ht="18">
      <c r="AA1840" s="116"/>
      <c r="AB1840" s="87"/>
      <c r="AC1840" s="116"/>
      <c r="AD1840" s="116"/>
      <c r="AE1840" s="116"/>
      <c r="AF1840" s="116"/>
      <c r="AG1840" s="116"/>
      <c r="AH1840" s="116"/>
      <c r="AI1840" s="116"/>
    </row>
    <row r="1841" spans="27:35" ht="18">
      <c r="AA1841" s="116"/>
      <c r="AB1841" s="87"/>
      <c r="AC1841" s="116"/>
      <c r="AD1841" s="116"/>
      <c r="AE1841" s="116"/>
      <c r="AF1841" s="116"/>
      <c r="AG1841" s="116"/>
      <c r="AH1841" s="116"/>
      <c r="AI1841" s="116"/>
    </row>
    <row r="1842" spans="27:35" ht="18">
      <c r="AA1842" s="116"/>
      <c r="AB1842" s="87"/>
      <c r="AC1842" s="116"/>
      <c r="AD1842" s="116"/>
      <c r="AE1842" s="116"/>
      <c r="AF1842" s="116"/>
      <c r="AG1842" s="116"/>
      <c r="AH1842" s="116"/>
      <c r="AI1842" s="116"/>
    </row>
    <row r="1843" spans="27:35" ht="18">
      <c r="AA1843" s="116"/>
      <c r="AB1843" s="87"/>
      <c r="AC1843" s="116"/>
      <c r="AD1843" s="116"/>
      <c r="AE1843" s="116"/>
      <c r="AF1843" s="116"/>
      <c r="AG1843" s="116"/>
      <c r="AH1843" s="116"/>
      <c r="AI1843" s="116"/>
    </row>
    <row r="1844" spans="27:35" ht="18">
      <c r="AA1844" s="116"/>
      <c r="AB1844" s="184"/>
      <c r="AC1844" s="116"/>
      <c r="AD1844" s="116"/>
      <c r="AE1844" s="116"/>
      <c r="AF1844" s="116"/>
      <c r="AG1844" s="116"/>
      <c r="AH1844" s="116"/>
      <c r="AI1844" s="116"/>
    </row>
    <row r="1845" spans="27:35" ht="18">
      <c r="AA1845" s="116"/>
      <c r="AB1845" s="87"/>
      <c r="AC1845" s="116"/>
      <c r="AD1845" s="116"/>
      <c r="AE1845" s="116"/>
      <c r="AF1845" s="116"/>
      <c r="AG1845" s="116"/>
      <c r="AH1845" s="116"/>
      <c r="AI1845" s="116"/>
    </row>
    <row r="1846" spans="27:35" ht="18">
      <c r="AA1846" s="116"/>
      <c r="AB1846" s="87"/>
      <c r="AC1846" s="116"/>
      <c r="AD1846" s="116"/>
      <c r="AE1846" s="116"/>
      <c r="AF1846" s="116"/>
      <c r="AG1846" s="116"/>
      <c r="AH1846" s="116"/>
      <c r="AI1846" s="116"/>
    </row>
    <row r="1847" spans="27:35" ht="18">
      <c r="AA1847" s="116"/>
      <c r="AB1847" s="87"/>
      <c r="AC1847" s="116"/>
      <c r="AD1847" s="116"/>
      <c r="AE1847" s="116"/>
      <c r="AF1847" s="116"/>
      <c r="AG1847" s="116"/>
      <c r="AH1847" s="116"/>
      <c r="AI1847" s="116"/>
    </row>
    <row r="1848" spans="27:35" ht="18">
      <c r="AA1848" s="116"/>
      <c r="AB1848" s="87"/>
      <c r="AC1848" s="116"/>
      <c r="AD1848" s="116"/>
      <c r="AE1848" s="116"/>
      <c r="AF1848" s="116"/>
      <c r="AG1848" s="116"/>
      <c r="AH1848" s="116"/>
      <c r="AI1848" s="116"/>
    </row>
    <row r="1849" spans="27:35" ht="18">
      <c r="AA1849" s="116"/>
      <c r="AB1849" s="87"/>
      <c r="AC1849" s="116"/>
      <c r="AD1849" s="116"/>
      <c r="AE1849" s="116"/>
      <c r="AF1849" s="116"/>
      <c r="AG1849" s="116"/>
      <c r="AH1849" s="116"/>
      <c r="AI1849" s="116"/>
    </row>
    <row r="1850" spans="27:35" ht="18">
      <c r="AA1850" s="116"/>
      <c r="AB1850" s="87"/>
      <c r="AC1850" s="116"/>
      <c r="AD1850" s="116"/>
      <c r="AE1850" s="116"/>
      <c r="AF1850" s="116"/>
      <c r="AG1850" s="116"/>
      <c r="AH1850" s="116"/>
      <c r="AI1850" s="116"/>
    </row>
    <row r="1851" spans="27:35" ht="18">
      <c r="AA1851" s="116"/>
      <c r="AB1851" s="87"/>
      <c r="AC1851" s="116"/>
      <c r="AD1851" s="116"/>
      <c r="AE1851" s="116"/>
      <c r="AF1851" s="116"/>
      <c r="AG1851" s="116"/>
      <c r="AH1851" s="116"/>
      <c r="AI1851" s="116"/>
    </row>
    <row r="1852" spans="27:35" ht="18">
      <c r="AA1852" s="116"/>
      <c r="AB1852" s="87"/>
      <c r="AC1852" s="116"/>
      <c r="AD1852" s="116"/>
      <c r="AE1852" s="116"/>
      <c r="AF1852" s="116"/>
      <c r="AG1852" s="116"/>
      <c r="AH1852" s="116"/>
      <c r="AI1852" s="116"/>
    </row>
    <row r="1853" spans="27:35" ht="18">
      <c r="AA1853" s="116"/>
      <c r="AB1853" s="87"/>
      <c r="AC1853" s="116"/>
      <c r="AD1853" s="116"/>
      <c r="AE1853" s="116"/>
      <c r="AF1853" s="116"/>
      <c r="AG1853" s="116"/>
      <c r="AH1853" s="116"/>
      <c r="AI1853" s="116"/>
    </row>
    <row r="1854" spans="27:35" ht="18">
      <c r="AA1854" s="116"/>
      <c r="AB1854" s="87"/>
      <c r="AC1854" s="116"/>
      <c r="AD1854" s="116"/>
      <c r="AE1854" s="116"/>
      <c r="AF1854" s="116"/>
      <c r="AG1854" s="116"/>
      <c r="AH1854" s="116"/>
      <c r="AI1854" s="116"/>
    </row>
    <row r="1855" spans="27:35" ht="18">
      <c r="AA1855" s="116"/>
      <c r="AB1855" s="87"/>
      <c r="AC1855" s="116"/>
      <c r="AD1855" s="116"/>
      <c r="AE1855" s="116"/>
      <c r="AF1855" s="116"/>
      <c r="AG1855" s="116"/>
      <c r="AH1855" s="116"/>
      <c r="AI1855" s="116"/>
    </row>
    <row r="1856" spans="27:35" ht="18">
      <c r="AA1856" s="116"/>
      <c r="AB1856" s="87"/>
      <c r="AC1856" s="116"/>
      <c r="AD1856" s="116"/>
      <c r="AE1856" s="116"/>
      <c r="AF1856" s="116"/>
      <c r="AG1856" s="116"/>
      <c r="AH1856" s="116"/>
      <c r="AI1856" s="116"/>
    </row>
    <row r="1857" spans="27:35" ht="18">
      <c r="AA1857" s="116"/>
      <c r="AB1857" s="87"/>
      <c r="AC1857" s="116"/>
      <c r="AD1857" s="116"/>
      <c r="AE1857" s="116"/>
      <c r="AF1857" s="116"/>
      <c r="AG1857" s="116"/>
      <c r="AH1857" s="116"/>
      <c r="AI1857" s="116"/>
    </row>
    <row r="1858" spans="27:35" ht="18">
      <c r="AA1858" s="116"/>
      <c r="AB1858" s="87"/>
      <c r="AC1858" s="116"/>
      <c r="AD1858" s="116"/>
      <c r="AE1858" s="116"/>
      <c r="AF1858" s="116"/>
      <c r="AG1858" s="116"/>
      <c r="AH1858" s="116"/>
      <c r="AI1858" s="116"/>
    </row>
    <row r="1859" spans="27:35" ht="18">
      <c r="AA1859" s="116"/>
      <c r="AB1859" s="87"/>
      <c r="AC1859" s="116"/>
      <c r="AD1859" s="116"/>
      <c r="AE1859" s="116"/>
      <c r="AF1859" s="116"/>
      <c r="AG1859" s="116"/>
      <c r="AH1859" s="116"/>
      <c r="AI1859" s="116"/>
    </row>
    <row r="1860" spans="27:35" ht="18">
      <c r="AA1860" s="116"/>
      <c r="AB1860" s="87"/>
      <c r="AC1860" s="116"/>
      <c r="AD1860" s="116"/>
      <c r="AE1860" s="116"/>
      <c r="AF1860" s="116"/>
      <c r="AG1860" s="116"/>
      <c r="AH1860" s="116"/>
      <c r="AI1860" s="116"/>
    </row>
    <row r="1861" spans="27:35" ht="18">
      <c r="AA1861" s="116"/>
      <c r="AB1861" s="87"/>
      <c r="AC1861" s="116"/>
      <c r="AD1861" s="116"/>
      <c r="AE1861" s="116"/>
      <c r="AF1861" s="116"/>
      <c r="AG1861" s="116"/>
      <c r="AH1861" s="116"/>
      <c r="AI1861" s="116"/>
    </row>
    <row r="1862" spans="27:35" ht="18">
      <c r="AA1862" s="116"/>
      <c r="AB1862" s="87"/>
      <c r="AC1862" s="116"/>
      <c r="AD1862" s="116"/>
      <c r="AE1862" s="116"/>
      <c r="AF1862" s="116"/>
      <c r="AG1862" s="116"/>
      <c r="AH1862" s="116"/>
      <c r="AI1862" s="116"/>
    </row>
    <row r="1863" spans="27:35" ht="18">
      <c r="AA1863" s="116"/>
      <c r="AB1863" s="87"/>
      <c r="AC1863" s="116"/>
      <c r="AD1863" s="116"/>
      <c r="AE1863" s="116"/>
      <c r="AF1863" s="116"/>
      <c r="AG1863" s="116"/>
      <c r="AH1863" s="116"/>
      <c r="AI1863" s="116"/>
    </row>
    <row r="1864" spans="27:35" ht="18">
      <c r="AA1864" s="116"/>
      <c r="AB1864" s="87"/>
      <c r="AC1864" s="116"/>
      <c r="AD1864" s="116"/>
      <c r="AE1864" s="116"/>
      <c r="AF1864" s="116"/>
      <c r="AG1864" s="116"/>
      <c r="AH1864" s="116"/>
      <c r="AI1864" s="116"/>
    </row>
    <row r="1865" spans="27:35" ht="18">
      <c r="AA1865" s="116"/>
      <c r="AB1865" s="87"/>
      <c r="AC1865" s="116"/>
      <c r="AD1865" s="116"/>
      <c r="AE1865" s="116"/>
      <c r="AF1865" s="116"/>
      <c r="AG1865" s="116"/>
      <c r="AH1865" s="116"/>
      <c r="AI1865" s="116"/>
    </row>
    <row r="1866" spans="27:35" ht="18">
      <c r="AA1866" s="116"/>
      <c r="AB1866" s="87"/>
      <c r="AC1866" s="116"/>
      <c r="AD1866" s="116"/>
      <c r="AE1866" s="116"/>
      <c r="AF1866" s="116"/>
      <c r="AG1866" s="116"/>
      <c r="AH1866" s="116"/>
      <c r="AI1866" s="116"/>
    </row>
    <row r="1867" spans="27:35" ht="18">
      <c r="AA1867" s="116"/>
      <c r="AB1867" s="87"/>
      <c r="AC1867" s="116"/>
      <c r="AD1867" s="116"/>
      <c r="AE1867" s="116"/>
      <c r="AF1867" s="116"/>
      <c r="AG1867" s="116"/>
      <c r="AH1867" s="116"/>
      <c r="AI1867" s="116"/>
    </row>
    <row r="1868" spans="27:35" ht="18">
      <c r="AA1868" s="116"/>
      <c r="AB1868" s="87"/>
      <c r="AC1868" s="116"/>
      <c r="AD1868" s="116"/>
      <c r="AE1868" s="116"/>
      <c r="AF1868" s="116"/>
      <c r="AG1868" s="116"/>
      <c r="AH1868" s="116"/>
      <c r="AI1868" s="116"/>
    </row>
    <row r="1869" spans="27:35" ht="18">
      <c r="AA1869" s="116"/>
      <c r="AB1869" s="87"/>
      <c r="AC1869" s="116"/>
      <c r="AD1869" s="116"/>
      <c r="AE1869" s="116"/>
      <c r="AF1869" s="116"/>
      <c r="AG1869" s="116"/>
      <c r="AH1869" s="116"/>
      <c r="AI1869" s="116"/>
    </row>
    <row r="1870" spans="27:35" ht="18">
      <c r="AA1870" s="116"/>
      <c r="AB1870" s="87"/>
      <c r="AC1870" s="116"/>
      <c r="AD1870" s="116"/>
      <c r="AE1870" s="116"/>
      <c r="AF1870" s="116"/>
      <c r="AG1870" s="116"/>
      <c r="AH1870" s="116"/>
      <c r="AI1870" s="116"/>
    </row>
    <row r="1871" spans="27:35" ht="18">
      <c r="AA1871" s="116"/>
      <c r="AB1871" s="87"/>
      <c r="AC1871" s="116"/>
      <c r="AD1871" s="116"/>
      <c r="AE1871" s="116"/>
      <c r="AF1871" s="116"/>
      <c r="AG1871" s="116"/>
      <c r="AH1871" s="116"/>
      <c r="AI1871" s="116"/>
    </row>
    <row r="1872" spans="27:35" ht="18">
      <c r="AA1872" s="116"/>
      <c r="AB1872" s="87"/>
      <c r="AC1872" s="116"/>
      <c r="AD1872" s="116"/>
      <c r="AE1872" s="116"/>
      <c r="AF1872" s="116"/>
      <c r="AG1872" s="116"/>
      <c r="AH1872" s="116"/>
      <c r="AI1872" s="116"/>
    </row>
    <row r="1873" spans="27:35" ht="18">
      <c r="AA1873" s="116"/>
      <c r="AB1873" s="87"/>
      <c r="AC1873" s="116"/>
      <c r="AD1873" s="116"/>
      <c r="AE1873" s="116"/>
      <c r="AF1873" s="116"/>
      <c r="AG1873" s="116"/>
      <c r="AH1873" s="116"/>
      <c r="AI1873" s="116"/>
    </row>
    <row r="1874" spans="27:35" ht="18">
      <c r="AA1874" s="116"/>
      <c r="AB1874" s="87"/>
      <c r="AC1874" s="116"/>
      <c r="AD1874" s="116"/>
      <c r="AE1874" s="116"/>
      <c r="AF1874" s="116"/>
      <c r="AG1874" s="116"/>
      <c r="AH1874" s="116"/>
      <c r="AI1874" s="116"/>
    </row>
    <row r="1875" spans="27:35" ht="18">
      <c r="AA1875" s="116"/>
      <c r="AB1875" s="87"/>
      <c r="AC1875" s="116"/>
      <c r="AD1875" s="116"/>
      <c r="AE1875" s="116"/>
      <c r="AF1875" s="116"/>
      <c r="AG1875" s="116"/>
      <c r="AH1875" s="116"/>
      <c r="AI1875" s="116"/>
    </row>
    <row r="1876" spans="27:35" ht="18">
      <c r="AA1876" s="116"/>
      <c r="AB1876" s="87"/>
      <c r="AC1876" s="116"/>
      <c r="AD1876" s="116"/>
      <c r="AE1876" s="116"/>
      <c r="AF1876" s="116"/>
      <c r="AG1876" s="116"/>
      <c r="AH1876" s="116"/>
      <c r="AI1876" s="116"/>
    </row>
    <row r="1877" spans="27:35" ht="18">
      <c r="AA1877" s="116"/>
      <c r="AB1877" s="87"/>
      <c r="AC1877" s="116"/>
      <c r="AD1877" s="116"/>
      <c r="AE1877" s="116"/>
      <c r="AF1877" s="116"/>
      <c r="AG1877" s="116"/>
      <c r="AH1877" s="116"/>
      <c r="AI1877" s="116"/>
    </row>
    <row r="1878" spans="27:35" ht="18">
      <c r="AA1878" s="116"/>
      <c r="AB1878" s="87"/>
      <c r="AC1878" s="116"/>
      <c r="AD1878" s="116"/>
      <c r="AE1878" s="116"/>
      <c r="AF1878" s="116"/>
      <c r="AG1878" s="116"/>
      <c r="AH1878" s="116"/>
      <c r="AI1878" s="116"/>
    </row>
    <row r="1879" spans="27:35" ht="18">
      <c r="AA1879" s="116"/>
      <c r="AB1879" s="87"/>
      <c r="AC1879" s="116"/>
      <c r="AD1879" s="116"/>
      <c r="AE1879" s="116"/>
      <c r="AF1879" s="116"/>
      <c r="AG1879" s="116"/>
      <c r="AH1879" s="116"/>
      <c r="AI1879" s="116"/>
    </row>
    <row r="1880" spans="27:35" ht="18">
      <c r="AA1880" s="116"/>
      <c r="AB1880" s="87"/>
      <c r="AC1880" s="116"/>
      <c r="AD1880" s="116"/>
      <c r="AE1880" s="116"/>
      <c r="AF1880" s="116"/>
      <c r="AG1880" s="116"/>
      <c r="AH1880" s="116"/>
      <c r="AI1880" s="116"/>
    </row>
    <row r="1881" spans="27:35" ht="18">
      <c r="AA1881" s="116"/>
      <c r="AB1881" s="87"/>
      <c r="AC1881" s="116"/>
      <c r="AD1881" s="116"/>
      <c r="AE1881" s="116"/>
      <c r="AF1881" s="116"/>
      <c r="AG1881" s="116"/>
      <c r="AH1881" s="116"/>
      <c r="AI1881" s="116"/>
    </row>
    <row r="1882" spans="27:35" ht="18">
      <c r="AA1882" s="116"/>
      <c r="AB1882" s="87"/>
      <c r="AC1882" s="116"/>
      <c r="AD1882" s="116"/>
      <c r="AE1882" s="116"/>
      <c r="AF1882" s="116"/>
      <c r="AG1882" s="116"/>
      <c r="AH1882" s="116"/>
      <c r="AI1882" s="116"/>
    </row>
    <row r="1883" spans="27:35" ht="18">
      <c r="AA1883" s="116"/>
      <c r="AB1883" s="87"/>
      <c r="AC1883" s="116"/>
      <c r="AD1883" s="116"/>
      <c r="AE1883" s="116"/>
      <c r="AF1883" s="116"/>
      <c r="AG1883" s="116"/>
      <c r="AH1883" s="116"/>
      <c r="AI1883" s="116"/>
    </row>
    <row r="1884" spans="27:35" ht="18">
      <c r="AA1884" s="116"/>
      <c r="AB1884" s="87"/>
      <c r="AC1884" s="116"/>
      <c r="AD1884" s="116"/>
      <c r="AE1884" s="116"/>
      <c r="AF1884" s="116"/>
      <c r="AG1884" s="116"/>
      <c r="AH1884" s="116"/>
      <c r="AI1884" s="116"/>
    </row>
    <row r="1885" spans="27:35" ht="18">
      <c r="AA1885" s="116"/>
      <c r="AB1885" s="87"/>
      <c r="AC1885" s="116"/>
      <c r="AD1885" s="116"/>
      <c r="AE1885" s="116"/>
      <c r="AF1885" s="116"/>
      <c r="AG1885" s="116"/>
      <c r="AH1885" s="116"/>
      <c r="AI1885" s="116"/>
    </row>
    <row r="1886" spans="27:35" ht="18">
      <c r="AA1886" s="116"/>
      <c r="AB1886" s="87"/>
      <c r="AC1886" s="116"/>
      <c r="AD1886" s="116"/>
      <c r="AE1886" s="116"/>
      <c r="AF1886" s="116"/>
      <c r="AG1886" s="116"/>
      <c r="AH1886" s="116"/>
      <c r="AI1886" s="116"/>
    </row>
    <row r="1887" spans="27:35" ht="18">
      <c r="AA1887" s="116"/>
      <c r="AB1887" s="87"/>
      <c r="AC1887" s="116"/>
      <c r="AD1887" s="116"/>
      <c r="AE1887" s="116"/>
      <c r="AF1887" s="116"/>
      <c r="AG1887" s="116"/>
      <c r="AH1887" s="116"/>
      <c r="AI1887" s="116"/>
    </row>
    <row r="1888" spans="27:35" ht="18">
      <c r="AA1888" s="116"/>
      <c r="AB1888" s="87"/>
      <c r="AC1888" s="116"/>
      <c r="AD1888" s="116"/>
      <c r="AE1888" s="116"/>
      <c r="AF1888" s="116"/>
      <c r="AG1888" s="116"/>
      <c r="AH1888" s="116"/>
      <c r="AI1888" s="116"/>
    </row>
    <row r="1889" spans="27:35" ht="18">
      <c r="AA1889" s="116"/>
      <c r="AB1889" s="87"/>
      <c r="AC1889" s="116"/>
      <c r="AD1889" s="116"/>
      <c r="AE1889" s="116"/>
      <c r="AF1889" s="116"/>
      <c r="AG1889" s="116"/>
      <c r="AH1889" s="116"/>
      <c r="AI1889" s="116"/>
    </row>
    <row r="1890" spans="27:35" ht="18">
      <c r="AA1890" s="116"/>
      <c r="AB1890" s="87"/>
      <c r="AC1890" s="116"/>
      <c r="AD1890" s="116"/>
      <c r="AE1890" s="116"/>
      <c r="AF1890" s="116"/>
      <c r="AG1890" s="116"/>
      <c r="AH1890" s="116"/>
      <c r="AI1890" s="116"/>
    </row>
    <row r="1891" spans="27:35" ht="18">
      <c r="AA1891" s="116"/>
      <c r="AB1891" s="87"/>
      <c r="AC1891" s="116"/>
      <c r="AD1891" s="116"/>
      <c r="AE1891" s="116"/>
      <c r="AF1891" s="116"/>
      <c r="AG1891" s="116"/>
      <c r="AH1891" s="116"/>
      <c r="AI1891" s="116"/>
    </row>
    <row r="1892" spans="27:35" ht="18">
      <c r="AA1892" s="116"/>
      <c r="AB1892" s="87"/>
      <c r="AC1892" s="116"/>
      <c r="AD1892" s="116"/>
      <c r="AE1892" s="116"/>
      <c r="AF1892" s="116"/>
      <c r="AG1892" s="116"/>
      <c r="AH1892" s="116"/>
      <c r="AI1892" s="116"/>
    </row>
    <row r="1893" spans="27:35" ht="18">
      <c r="AA1893" s="116"/>
      <c r="AB1893" s="87"/>
      <c r="AC1893" s="116"/>
      <c r="AD1893" s="116"/>
      <c r="AE1893" s="116"/>
      <c r="AF1893" s="116"/>
      <c r="AG1893" s="116"/>
      <c r="AH1893" s="116"/>
      <c r="AI1893" s="116"/>
    </row>
    <row r="1894" spans="27:35" ht="18">
      <c r="AA1894" s="116"/>
      <c r="AB1894" s="87"/>
      <c r="AC1894" s="116"/>
      <c r="AD1894" s="116"/>
      <c r="AE1894" s="116"/>
      <c r="AF1894" s="116"/>
      <c r="AG1894" s="116"/>
      <c r="AH1894" s="116"/>
      <c r="AI1894" s="116"/>
    </row>
    <row r="1895" spans="27:35" ht="18">
      <c r="AA1895" s="116"/>
      <c r="AB1895" s="87"/>
      <c r="AC1895" s="116"/>
      <c r="AD1895" s="116"/>
      <c r="AE1895" s="116"/>
      <c r="AF1895" s="116"/>
      <c r="AG1895" s="116"/>
      <c r="AH1895" s="116"/>
      <c r="AI1895" s="116"/>
    </row>
    <row r="1896" spans="27:35" ht="18">
      <c r="AA1896" s="116"/>
      <c r="AB1896" s="87"/>
      <c r="AC1896" s="116"/>
      <c r="AD1896" s="116"/>
      <c r="AE1896" s="116"/>
      <c r="AF1896" s="116"/>
      <c r="AG1896" s="116"/>
      <c r="AH1896" s="116"/>
      <c r="AI1896" s="116"/>
    </row>
    <row r="1897" spans="27:35" ht="18">
      <c r="AA1897" s="116"/>
      <c r="AB1897" s="87"/>
      <c r="AC1897" s="116"/>
      <c r="AD1897" s="116"/>
      <c r="AE1897" s="116"/>
      <c r="AF1897" s="116"/>
      <c r="AG1897" s="116"/>
      <c r="AH1897" s="116"/>
      <c r="AI1897" s="116"/>
    </row>
    <row r="1898" spans="27:35" ht="18">
      <c r="AA1898" s="116"/>
      <c r="AB1898" s="87"/>
      <c r="AC1898" s="116"/>
      <c r="AD1898" s="116"/>
      <c r="AE1898" s="116"/>
      <c r="AF1898" s="116"/>
      <c r="AG1898" s="116"/>
      <c r="AH1898" s="116"/>
      <c r="AI1898" s="116"/>
    </row>
    <row r="1899" spans="27:35" ht="18">
      <c r="AA1899" s="116"/>
      <c r="AB1899" s="87"/>
      <c r="AC1899" s="116"/>
      <c r="AD1899" s="116"/>
      <c r="AE1899" s="116"/>
      <c r="AF1899" s="116"/>
      <c r="AG1899" s="116"/>
      <c r="AH1899" s="116"/>
      <c r="AI1899" s="116"/>
    </row>
    <row r="1900" spans="27:35" ht="18">
      <c r="AA1900" s="116"/>
      <c r="AB1900" s="87"/>
      <c r="AC1900" s="116"/>
      <c r="AD1900" s="116"/>
      <c r="AE1900" s="116"/>
      <c r="AF1900" s="116"/>
      <c r="AG1900" s="116"/>
      <c r="AH1900" s="116"/>
      <c r="AI1900" s="116"/>
    </row>
    <row r="1901" spans="27:35" ht="18">
      <c r="AA1901" s="116"/>
      <c r="AB1901" s="87"/>
      <c r="AC1901" s="116"/>
      <c r="AD1901" s="116"/>
      <c r="AE1901" s="116"/>
      <c r="AF1901" s="116"/>
      <c r="AG1901" s="116"/>
      <c r="AH1901" s="116"/>
      <c r="AI1901" s="116"/>
    </row>
    <row r="1902" spans="27:35" ht="18">
      <c r="AA1902" s="116"/>
      <c r="AB1902" s="87"/>
      <c r="AC1902" s="116"/>
      <c r="AD1902" s="116"/>
      <c r="AE1902" s="116"/>
      <c r="AF1902" s="116"/>
      <c r="AG1902" s="116"/>
      <c r="AH1902" s="116"/>
      <c r="AI1902" s="116"/>
    </row>
    <row r="1903" spans="27:35" ht="18">
      <c r="AA1903" s="116"/>
      <c r="AB1903" s="87"/>
      <c r="AC1903" s="116"/>
      <c r="AD1903" s="116"/>
      <c r="AE1903" s="116"/>
      <c r="AF1903" s="116"/>
      <c r="AG1903" s="116"/>
      <c r="AH1903" s="116"/>
      <c r="AI1903" s="116"/>
    </row>
    <row r="1904" spans="27:35" ht="18">
      <c r="AA1904" s="116"/>
      <c r="AB1904" s="87"/>
      <c r="AC1904" s="116"/>
      <c r="AD1904" s="116"/>
      <c r="AE1904" s="116"/>
      <c r="AF1904" s="116"/>
      <c r="AG1904" s="116"/>
      <c r="AH1904" s="116"/>
      <c r="AI1904" s="116"/>
    </row>
    <row r="1905" spans="27:35" ht="18">
      <c r="AA1905" s="116"/>
      <c r="AB1905" s="87"/>
      <c r="AC1905" s="116"/>
      <c r="AD1905" s="116"/>
      <c r="AE1905" s="116"/>
      <c r="AF1905" s="116"/>
      <c r="AG1905" s="116"/>
      <c r="AH1905" s="116"/>
      <c r="AI1905" s="116"/>
    </row>
    <row r="1906" spans="27:35" ht="18">
      <c r="AA1906" s="116"/>
      <c r="AB1906" s="87"/>
      <c r="AC1906" s="116"/>
      <c r="AD1906" s="116"/>
      <c r="AE1906" s="116"/>
      <c r="AF1906" s="116"/>
      <c r="AG1906" s="116"/>
      <c r="AH1906" s="116"/>
      <c r="AI1906" s="116"/>
    </row>
    <row r="1907" spans="27:35" ht="18">
      <c r="AA1907" s="116"/>
      <c r="AB1907" s="87"/>
      <c r="AC1907" s="116"/>
      <c r="AD1907" s="116"/>
      <c r="AE1907" s="116"/>
      <c r="AF1907" s="116"/>
      <c r="AG1907" s="116"/>
      <c r="AH1907" s="116"/>
      <c r="AI1907" s="116"/>
    </row>
    <row r="1908" spans="27:35" ht="18">
      <c r="AA1908" s="116"/>
      <c r="AB1908" s="87"/>
      <c r="AC1908" s="116"/>
      <c r="AD1908" s="116"/>
      <c r="AE1908" s="116"/>
      <c r="AF1908" s="116"/>
      <c r="AG1908" s="116"/>
      <c r="AH1908" s="116"/>
      <c r="AI1908" s="116"/>
    </row>
    <row r="1909" spans="27:35" ht="18">
      <c r="AA1909" s="116"/>
      <c r="AB1909" s="87"/>
      <c r="AC1909" s="116"/>
      <c r="AD1909" s="116"/>
      <c r="AE1909" s="116"/>
      <c r="AF1909" s="116"/>
      <c r="AG1909" s="116"/>
      <c r="AH1909" s="116"/>
      <c r="AI1909" s="116"/>
    </row>
    <row r="1910" spans="27:35" ht="18">
      <c r="AA1910" s="116"/>
      <c r="AB1910" s="87"/>
      <c r="AC1910" s="116"/>
      <c r="AD1910" s="116"/>
      <c r="AE1910" s="116"/>
      <c r="AF1910" s="116"/>
      <c r="AG1910" s="116"/>
      <c r="AH1910" s="116"/>
      <c r="AI1910" s="116"/>
    </row>
    <row r="1911" spans="27:35" ht="18">
      <c r="AA1911" s="116"/>
      <c r="AB1911" s="87"/>
      <c r="AC1911" s="116"/>
      <c r="AD1911" s="116"/>
      <c r="AE1911" s="116"/>
      <c r="AF1911" s="116"/>
      <c r="AG1911" s="116"/>
      <c r="AH1911" s="116"/>
      <c r="AI1911" s="116"/>
    </row>
    <row r="1912" spans="27:35" ht="18">
      <c r="AA1912" s="116"/>
      <c r="AB1912" s="87"/>
      <c r="AC1912" s="116"/>
      <c r="AD1912" s="116"/>
      <c r="AE1912" s="116"/>
      <c r="AF1912" s="116"/>
      <c r="AG1912" s="116"/>
      <c r="AH1912" s="116"/>
      <c r="AI1912" s="116"/>
    </row>
    <row r="1913" spans="27:35" ht="18">
      <c r="AA1913" s="116"/>
      <c r="AB1913" s="87"/>
      <c r="AC1913" s="116"/>
      <c r="AD1913" s="116"/>
      <c r="AE1913" s="116"/>
      <c r="AF1913" s="116"/>
      <c r="AG1913" s="116"/>
      <c r="AH1913" s="116"/>
      <c r="AI1913" s="116"/>
    </row>
    <row r="1914" spans="27:35" ht="18">
      <c r="AA1914" s="116"/>
      <c r="AB1914" s="87"/>
      <c r="AC1914" s="116"/>
      <c r="AD1914" s="116"/>
      <c r="AE1914" s="116"/>
      <c r="AF1914" s="116"/>
      <c r="AG1914" s="116"/>
      <c r="AH1914" s="116"/>
      <c r="AI1914" s="116"/>
    </row>
    <row r="1915" spans="27:35" ht="18">
      <c r="AA1915" s="116"/>
      <c r="AB1915" s="87"/>
      <c r="AC1915" s="116"/>
      <c r="AD1915" s="116"/>
      <c r="AE1915" s="116"/>
      <c r="AF1915" s="116"/>
      <c r="AG1915" s="116"/>
      <c r="AH1915" s="116"/>
      <c r="AI1915" s="116"/>
    </row>
    <row r="1916" spans="27:35" ht="18">
      <c r="AA1916" s="116"/>
      <c r="AB1916" s="87"/>
      <c r="AC1916" s="116"/>
      <c r="AD1916" s="116"/>
      <c r="AE1916" s="116"/>
      <c r="AF1916" s="116"/>
      <c r="AG1916" s="116"/>
      <c r="AH1916" s="116"/>
      <c r="AI1916" s="116"/>
    </row>
    <row r="1917" spans="27:35" ht="18">
      <c r="AA1917" s="116"/>
      <c r="AB1917" s="87"/>
      <c r="AC1917" s="116"/>
      <c r="AD1917" s="116"/>
      <c r="AE1917" s="116"/>
      <c r="AF1917" s="116"/>
      <c r="AG1917" s="116"/>
      <c r="AH1917" s="116"/>
      <c r="AI1917" s="116"/>
    </row>
    <row r="1918" spans="27:35" ht="18">
      <c r="AA1918" s="116"/>
      <c r="AB1918" s="87"/>
      <c r="AC1918" s="116"/>
      <c r="AD1918" s="116"/>
      <c r="AE1918" s="116"/>
      <c r="AF1918" s="116"/>
      <c r="AG1918" s="116"/>
      <c r="AH1918" s="116"/>
      <c r="AI1918" s="116"/>
    </row>
    <row r="1919" spans="27:35" ht="18">
      <c r="AA1919" s="116"/>
      <c r="AB1919" s="87"/>
      <c r="AC1919" s="116"/>
      <c r="AD1919" s="116"/>
      <c r="AE1919" s="116"/>
      <c r="AF1919" s="116"/>
      <c r="AG1919" s="116"/>
      <c r="AH1919" s="116"/>
      <c r="AI1919" s="116"/>
    </row>
    <row r="1920" spans="27:35" ht="18">
      <c r="AA1920" s="116"/>
      <c r="AB1920" s="87"/>
      <c r="AC1920" s="116"/>
      <c r="AD1920" s="116"/>
      <c r="AE1920" s="116"/>
      <c r="AF1920" s="116"/>
      <c r="AG1920" s="116"/>
      <c r="AH1920" s="116"/>
      <c r="AI1920" s="116"/>
    </row>
    <row r="1921" spans="27:35" ht="18">
      <c r="AA1921" s="116"/>
      <c r="AB1921" s="87"/>
      <c r="AC1921" s="116"/>
      <c r="AD1921" s="116"/>
      <c r="AE1921" s="116"/>
      <c r="AF1921" s="116"/>
      <c r="AG1921" s="116"/>
      <c r="AH1921" s="116"/>
      <c r="AI1921" s="116"/>
    </row>
    <row r="1922" spans="27:35" ht="18">
      <c r="AA1922" s="116"/>
      <c r="AB1922" s="87"/>
      <c r="AC1922" s="116"/>
      <c r="AD1922" s="116"/>
      <c r="AE1922" s="116"/>
      <c r="AF1922" s="116"/>
      <c r="AG1922" s="116"/>
      <c r="AH1922" s="116"/>
      <c r="AI1922" s="116"/>
    </row>
    <row r="1923" spans="27:35" ht="18">
      <c r="AA1923" s="116"/>
      <c r="AB1923" s="87"/>
      <c r="AC1923" s="116"/>
      <c r="AD1923" s="116"/>
      <c r="AE1923" s="116"/>
      <c r="AF1923" s="116"/>
      <c r="AG1923" s="116"/>
      <c r="AH1923" s="116"/>
      <c r="AI1923" s="116"/>
    </row>
    <row r="1924" spans="27:35" ht="18">
      <c r="AA1924" s="116"/>
      <c r="AB1924" s="87"/>
      <c r="AC1924" s="116"/>
      <c r="AD1924" s="116"/>
      <c r="AE1924" s="116"/>
      <c r="AF1924" s="116"/>
      <c r="AG1924" s="116"/>
      <c r="AH1924" s="116"/>
      <c r="AI1924" s="116"/>
    </row>
    <row r="1925" spans="27:35" ht="18">
      <c r="AA1925" s="116"/>
      <c r="AB1925" s="87"/>
      <c r="AC1925" s="116"/>
      <c r="AD1925" s="116"/>
      <c r="AE1925" s="116"/>
      <c r="AF1925" s="116"/>
      <c r="AG1925" s="116"/>
      <c r="AH1925" s="116"/>
      <c r="AI1925" s="116"/>
    </row>
    <row r="1926" spans="27:35" ht="18">
      <c r="AA1926" s="116"/>
      <c r="AB1926" s="87"/>
      <c r="AC1926" s="116"/>
      <c r="AD1926" s="116"/>
      <c r="AE1926" s="116"/>
      <c r="AF1926" s="116"/>
      <c r="AG1926" s="116"/>
      <c r="AH1926" s="116"/>
      <c r="AI1926" s="116"/>
    </row>
    <row r="1927" spans="27:35" ht="18">
      <c r="AA1927" s="116"/>
      <c r="AB1927" s="87"/>
      <c r="AC1927" s="116"/>
      <c r="AD1927" s="116"/>
      <c r="AE1927" s="116"/>
      <c r="AF1927" s="116"/>
      <c r="AG1927" s="116"/>
      <c r="AH1927" s="116"/>
      <c r="AI1927" s="116"/>
    </row>
    <row r="1928" spans="27:35" ht="18">
      <c r="AA1928" s="116"/>
      <c r="AB1928" s="87"/>
      <c r="AC1928" s="116"/>
      <c r="AD1928" s="116"/>
      <c r="AE1928" s="116"/>
      <c r="AF1928" s="116"/>
      <c r="AG1928" s="116"/>
      <c r="AH1928" s="116"/>
      <c r="AI1928" s="116"/>
    </row>
    <row r="1929" spans="27:35" ht="18">
      <c r="AA1929" s="116"/>
      <c r="AB1929" s="87"/>
      <c r="AC1929" s="116"/>
      <c r="AD1929" s="116"/>
      <c r="AE1929" s="116"/>
      <c r="AF1929" s="116"/>
      <c r="AG1929" s="116"/>
      <c r="AH1929" s="116"/>
      <c r="AI1929" s="116"/>
    </row>
    <row r="1930" spans="27:35" ht="18">
      <c r="AA1930" s="116"/>
      <c r="AB1930" s="87"/>
      <c r="AC1930" s="116"/>
      <c r="AD1930" s="116"/>
      <c r="AE1930" s="116"/>
      <c r="AF1930" s="116"/>
      <c r="AG1930" s="116"/>
      <c r="AH1930" s="116"/>
      <c r="AI1930" s="116"/>
    </row>
    <row r="1931" spans="27:35" ht="18">
      <c r="AA1931" s="116"/>
      <c r="AB1931" s="87"/>
      <c r="AC1931" s="116"/>
      <c r="AD1931" s="116"/>
      <c r="AE1931" s="116"/>
      <c r="AF1931" s="116"/>
      <c r="AG1931" s="116"/>
      <c r="AH1931" s="116"/>
      <c r="AI1931" s="116"/>
    </row>
    <row r="1932" spans="27:35" ht="18">
      <c r="AA1932" s="116"/>
      <c r="AB1932" s="87"/>
      <c r="AC1932" s="116"/>
      <c r="AD1932" s="116"/>
      <c r="AE1932" s="116"/>
      <c r="AF1932" s="116"/>
      <c r="AG1932" s="116"/>
      <c r="AH1932" s="116"/>
      <c r="AI1932" s="116"/>
    </row>
    <row r="1933" spans="27:35" ht="18">
      <c r="AA1933" s="116"/>
      <c r="AB1933" s="87"/>
      <c r="AC1933" s="116"/>
      <c r="AD1933" s="116"/>
      <c r="AE1933" s="116"/>
      <c r="AF1933" s="116"/>
      <c r="AG1933" s="116"/>
      <c r="AH1933" s="116"/>
      <c r="AI1933" s="116"/>
    </row>
    <row r="1934" spans="27:35" ht="18">
      <c r="AA1934" s="116"/>
      <c r="AB1934" s="87"/>
      <c r="AC1934" s="116"/>
      <c r="AD1934" s="116"/>
      <c r="AE1934" s="116"/>
      <c r="AF1934" s="116"/>
      <c r="AG1934" s="116"/>
      <c r="AH1934" s="116"/>
      <c r="AI1934" s="116"/>
    </row>
    <row r="1935" spans="27:35" ht="18">
      <c r="AA1935" s="116"/>
      <c r="AB1935" s="87"/>
      <c r="AC1935" s="116"/>
      <c r="AD1935" s="116"/>
      <c r="AE1935" s="116"/>
      <c r="AF1935" s="116"/>
      <c r="AG1935" s="116"/>
      <c r="AH1935" s="116"/>
      <c r="AI1935" s="116"/>
    </row>
    <row r="1936" spans="27:35" ht="18">
      <c r="AA1936" s="116"/>
      <c r="AB1936" s="87"/>
      <c r="AC1936" s="116"/>
      <c r="AD1936" s="116"/>
      <c r="AE1936" s="116"/>
      <c r="AF1936" s="116"/>
      <c r="AG1936" s="116"/>
      <c r="AH1936" s="116"/>
      <c r="AI1936" s="116"/>
    </row>
    <row r="1937" spans="27:35" ht="18">
      <c r="AA1937" s="116"/>
      <c r="AB1937" s="87"/>
      <c r="AC1937" s="116"/>
      <c r="AD1937" s="116"/>
      <c r="AE1937" s="116"/>
      <c r="AF1937" s="116"/>
      <c r="AG1937" s="116"/>
      <c r="AH1937" s="116"/>
      <c r="AI1937" s="116"/>
    </row>
    <row r="1938" spans="27:35" ht="18">
      <c r="AA1938" s="116"/>
      <c r="AB1938" s="87"/>
      <c r="AC1938" s="116"/>
      <c r="AD1938" s="116"/>
      <c r="AE1938" s="116"/>
      <c r="AF1938" s="116"/>
      <c r="AG1938" s="116"/>
      <c r="AH1938" s="116"/>
      <c r="AI1938" s="116"/>
    </row>
    <row r="1939" spans="27:35" ht="18">
      <c r="AA1939" s="116"/>
      <c r="AB1939" s="87"/>
      <c r="AC1939" s="116"/>
      <c r="AD1939" s="116"/>
      <c r="AE1939" s="116"/>
      <c r="AF1939" s="116"/>
      <c r="AG1939" s="116"/>
      <c r="AH1939" s="116"/>
      <c r="AI1939" s="116"/>
    </row>
    <row r="1940" spans="27:35" ht="18">
      <c r="AA1940" s="116"/>
      <c r="AB1940" s="87"/>
      <c r="AC1940" s="116"/>
      <c r="AD1940" s="116"/>
      <c r="AE1940" s="116"/>
      <c r="AF1940" s="116"/>
      <c r="AG1940" s="116"/>
      <c r="AH1940" s="116"/>
      <c r="AI1940" s="116"/>
    </row>
    <row r="1941" spans="27:35" ht="18">
      <c r="AA1941" s="116"/>
      <c r="AB1941" s="87"/>
      <c r="AC1941" s="116"/>
      <c r="AD1941" s="116"/>
      <c r="AE1941" s="116"/>
      <c r="AF1941" s="116"/>
      <c r="AG1941" s="116"/>
      <c r="AH1941" s="116"/>
      <c r="AI1941" s="116"/>
    </row>
    <row r="1942" spans="27:35" ht="18">
      <c r="AA1942" s="116"/>
      <c r="AB1942" s="87"/>
      <c r="AC1942" s="116"/>
      <c r="AD1942" s="116"/>
      <c r="AE1942" s="116"/>
      <c r="AF1942" s="116"/>
      <c r="AG1942" s="116"/>
      <c r="AH1942" s="116"/>
      <c r="AI1942" s="116"/>
    </row>
    <row r="1943" spans="27:35" ht="18">
      <c r="AA1943" s="116"/>
      <c r="AB1943" s="87"/>
      <c r="AC1943" s="116"/>
      <c r="AD1943" s="116"/>
      <c r="AE1943" s="116"/>
      <c r="AF1943" s="116"/>
      <c r="AG1943" s="116"/>
      <c r="AH1943" s="116"/>
      <c r="AI1943" s="116"/>
    </row>
    <row r="1944" spans="27:35" ht="18">
      <c r="AA1944" s="116"/>
      <c r="AB1944" s="87"/>
      <c r="AC1944" s="116"/>
      <c r="AD1944" s="116"/>
      <c r="AE1944" s="116"/>
      <c r="AF1944" s="116"/>
      <c r="AG1944" s="116"/>
      <c r="AH1944" s="116"/>
      <c r="AI1944" s="116"/>
    </row>
    <row r="1945" spans="27:35" ht="18">
      <c r="AA1945" s="116"/>
      <c r="AB1945" s="87"/>
      <c r="AC1945" s="116"/>
      <c r="AD1945" s="116"/>
      <c r="AE1945" s="116"/>
      <c r="AF1945" s="116"/>
      <c r="AG1945" s="116"/>
      <c r="AH1945" s="116"/>
      <c r="AI1945" s="116"/>
    </row>
    <row r="1946" spans="27:35" ht="18">
      <c r="AA1946" s="116"/>
      <c r="AB1946" s="87"/>
      <c r="AC1946" s="116"/>
      <c r="AD1946" s="116"/>
      <c r="AE1946" s="116"/>
      <c r="AF1946" s="116"/>
      <c r="AG1946" s="116"/>
      <c r="AH1946" s="116"/>
      <c r="AI1946" s="116"/>
    </row>
    <row r="1947" spans="27:35" ht="18">
      <c r="AA1947" s="116"/>
      <c r="AB1947" s="87"/>
      <c r="AC1947" s="116"/>
      <c r="AD1947" s="116"/>
      <c r="AE1947" s="116"/>
      <c r="AF1947" s="116"/>
      <c r="AG1947" s="116"/>
      <c r="AH1947" s="116"/>
      <c r="AI1947" s="116"/>
    </row>
    <row r="1948" spans="27:35" ht="18">
      <c r="AA1948" s="116"/>
      <c r="AB1948" s="87"/>
      <c r="AC1948" s="116"/>
      <c r="AD1948" s="116"/>
      <c r="AE1948" s="116"/>
      <c r="AF1948" s="116"/>
      <c r="AG1948" s="116"/>
      <c r="AH1948" s="116"/>
      <c r="AI1948" s="116"/>
    </row>
    <row r="1949" spans="27:35" ht="18">
      <c r="AA1949" s="116"/>
      <c r="AB1949" s="87"/>
      <c r="AC1949" s="116"/>
      <c r="AD1949" s="116"/>
      <c r="AE1949" s="116"/>
      <c r="AF1949" s="116"/>
      <c r="AG1949" s="116"/>
      <c r="AH1949" s="116"/>
      <c r="AI1949" s="116"/>
    </row>
    <row r="1950" spans="27:35" ht="18">
      <c r="AA1950" s="116"/>
      <c r="AB1950" s="184"/>
      <c r="AC1950" s="116"/>
      <c r="AD1950" s="116"/>
      <c r="AE1950" s="116"/>
      <c r="AF1950" s="116"/>
      <c r="AG1950" s="116"/>
      <c r="AH1950" s="116"/>
      <c r="AI1950" s="116"/>
    </row>
    <row r="1951" spans="27:35" ht="18">
      <c r="AA1951" s="116"/>
      <c r="AB1951" s="184"/>
      <c r="AC1951" s="116"/>
      <c r="AD1951" s="116"/>
      <c r="AE1951" s="116"/>
      <c r="AF1951" s="116"/>
      <c r="AG1951" s="116"/>
      <c r="AH1951" s="116"/>
      <c r="AI1951" s="116"/>
    </row>
    <row r="1952" spans="27:35" ht="18">
      <c r="AA1952" s="116"/>
      <c r="AB1952" s="87"/>
      <c r="AC1952" s="116"/>
      <c r="AD1952" s="116"/>
      <c r="AE1952" s="116"/>
      <c r="AF1952" s="116"/>
      <c r="AG1952" s="116"/>
      <c r="AH1952" s="116"/>
      <c r="AI1952" s="116"/>
    </row>
    <row r="1953" spans="27:35" ht="18">
      <c r="AA1953" s="116"/>
      <c r="AB1953" s="87"/>
      <c r="AC1953" s="116"/>
      <c r="AD1953" s="116"/>
      <c r="AE1953" s="116"/>
      <c r="AF1953" s="116"/>
      <c r="AG1953" s="116"/>
      <c r="AH1953" s="116"/>
      <c r="AI1953" s="116"/>
    </row>
    <row r="1954" spans="27:35" ht="18">
      <c r="AA1954" s="116"/>
      <c r="AB1954" s="87"/>
      <c r="AC1954" s="116"/>
      <c r="AD1954" s="116"/>
      <c r="AE1954" s="116"/>
      <c r="AF1954" s="116"/>
      <c r="AG1954" s="116"/>
      <c r="AH1954" s="116"/>
      <c r="AI1954" s="116"/>
    </row>
    <row r="1955" spans="27:35" ht="18">
      <c r="AA1955" s="116"/>
      <c r="AB1955" s="184"/>
      <c r="AC1955" s="116"/>
      <c r="AD1955" s="116"/>
      <c r="AE1955" s="116"/>
      <c r="AF1955" s="116"/>
      <c r="AG1955" s="116"/>
      <c r="AH1955" s="116"/>
      <c r="AI1955" s="116"/>
    </row>
    <row r="1956" spans="27:35" ht="18">
      <c r="AA1956" s="116"/>
      <c r="AB1956" s="87"/>
      <c r="AC1956" s="116"/>
      <c r="AD1956" s="116"/>
      <c r="AE1956" s="116"/>
      <c r="AF1956" s="116"/>
      <c r="AG1956" s="116"/>
      <c r="AH1956" s="116"/>
      <c r="AI1956" s="116"/>
    </row>
    <row r="1957" spans="27:35" ht="18">
      <c r="AA1957" s="116"/>
      <c r="AB1957" s="87"/>
      <c r="AC1957" s="116"/>
      <c r="AD1957" s="116"/>
      <c r="AE1957" s="116"/>
      <c r="AF1957" s="116"/>
      <c r="AG1957" s="116"/>
      <c r="AH1957" s="116"/>
      <c r="AI1957" s="116"/>
    </row>
    <row r="1958" spans="27:35" ht="18">
      <c r="AA1958" s="116"/>
      <c r="AB1958" s="87"/>
      <c r="AC1958" s="116"/>
      <c r="AD1958" s="116"/>
      <c r="AE1958" s="116"/>
      <c r="AF1958" s="116"/>
      <c r="AG1958" s="116"/>
      <c r="AH1958" s="116"/>
      <c r="AI1958" s="116"/>
    </row>
    <row r="1959" spans="27:35" ht="18">
      <c r="AA1959" s="116"/>
      <c r="AB1959" s="87"/>
      <c r="AC1959" s="116"/>
      <c r="AD1959" s="116"/>
      <c r="AE1959" s="116"/>
      <c r="AF1959" s="116"/>
      <c r="AG1959" s="116"/>
      <c r="AH1959" s="116"/>
      <c r="AI1959" s="116"/>
    </row>
    <row r="1960" spans="27:35" ht="18">
      <c r="AA1960" s="116"/>
      <c r="AB1960" s="184"/>
      <c r="AC1960" s="116"/>
      <c r="AD1960" s="116"/>
      <c r="AE1960" s="116"/>
      <c r="AF1960" s="116"/>
      <c r="AG1960" s="116"/>
      <c r="AH1960" s="116"/>
      <c r="AI1960" s="116"/>
    </row>
    <row r="1961" spans="27:35" ht="18">
      <c r="AA1961" s="116"/>
      <c r="AB1961" s="184"/>
      <c r="AC1961" s="116"/>
      <c r="AD1961" s="116"/>
      <c r="AE1961" s="116"/>
      <c r="AF1961" s="116"/>
      <c r="AG1961" s="116"/>
      <c r="AH1961" s="116"/>
      <c r="AI1961" s="116"/>
    </row>
    <row r="1962" spans="27:35" ht="18">
      <c r="AA1962" s="116"/>
      <c r="AB1962" s="87"/>
      <c r="AC1962" s="116"/>
      <c r="AD1962" s="116"/>
      <c r="AE1962" s="116"/>
      <c r="AF1962" s="116"/>
      <c r="AG1962" s="116"/>
      <c r="AH1962" s="116"/>
      <c r="AI1962" s="116"/>
    </row>
    <row r="1963" spans="27:35" ht="18">
      <c r="AA1963" s="116"/>
      <c r="AB1963" s="87"/>
      <c r="AC1963" s="116"/>
      <c r="AD1963" s="116"/>
      <c r="AE1963" s="116"/>
      <c r="AF1963" s="116"/>
      <c r="AG1963" s="116"/>
      <c r="AH1963" s="116"/>
      <c r="AI1963" s="116"/>
    </row>
    <row r="1964" spans="27:35" ht="18">
      <c r="AA1964" s="116"/>
      <c r="AB1964" s="87"/>
      <c r="AC1964" s="116"/>
      <c r="AD1964" s="116"/>
      <c r="AE1964" s="116"/>
      <c r="AF1964" s="116"/>
      <c r="AG1964" s="116"/>
      <c r="AH1964" s="116"/>
      <c r="AI1964" s="116"/>
    </row>
    <row r="1965" spans="27:35" ht="18">
      <c r="AA1965" s="116"/>
      <c r="AB1965" s="87"/>
      <c r="AC1965" s="116"/>
      <c r="AD1965" s="116"/>
      <c r="AE1965" s="116"/>
      <c r="AF1965" s="116"/>
      <c r="AG1965" s="116"/>
      <c r="AH1965" s="116"/>
      <c r="AI1965" s="116"/>
    </row>
    <row r="1966" spans="27:35" ht="18">
      <c r="AA1966" s="116"/>
      <c r="AB1966" s="87"/>
      <c r="AC1966" s="116"/>
      <c r="AD1966" s="116"/>
      <c r="AE1966" s="116"/>
      <c r="AF1966" s="116"/>
      <c r="AG1966" s="116"/>
      <c r="AH1966" s="116"/>
      <c r="AI1966" s="116"/>
    </row>
    <row r="1967" spans="27:35" ht="18">
      <c r="AA1967" s="116"/>
      <c r="AB1967" s="87"/>
      <c r="AC1967" s="116"/>
      <c r="AD1967" s="116"/>
      <c r="AE1967" s="116"/>
      <c r="AF1967" s="116"/>
      <c r="AG1967" s="116"/>
      <c r="AH1967" s="116"/>
      <c r="AI1967" s="116"/>
    </row>
    <row r="1968" spans="27:35" ht="18">
      <c r="AA1968" s="116"/>
      <c r="AB1968" s="87"/>
      <c r="AC1968" s="116"/>
      <c r="AD1968" s="116"/>
      <c r="AE1968" s="116"/>
      <c r="AF1968" s="116"/>
      <c r="AG1968" s="116"/>
      <c r="AH1968" s="116"/>
      <c r="AI1968" s="116"/>
    </row>
    <row r="1969" spans="27:35" ht="18">
      <c r="AA1969" s="116"/>
      <c r="AB1969" s="87"/>
      <c r="AC1969" s="116"/>
      <c r="AD1969" s="116"/>
      <c r="AE1969" s="116"/>
      <c r="AF1969" s="116"/>
      <c r="AG1969" s="116"/>
      <c r="AH1969" s="116"/>
      <c r="AI1969" s="116"/>
    </row>
    <row r="1970" spans="27:35" ht="18">
      <c r="AA1970" s="116"/>
      <c r="AB1970" s="87"/>
      <c r="AC1970" s="116"/>
      <c r="AD1970" s="116"/>
      <c r="AE1970" s="116"/>
      <c r="AF1970" s="116"/>
      <c r="AG1970" s="116"/>
      <c r="AH1970" s="116"/>
      <c r="AI1970" s="116"/>
    </row>
    <row r="1971" spans="27:35" ht="18">
      <c r="AA1971" s="116"/>
      <c r="AB1971" s="87"/>
      <c r="AC1971" s="116"/>
      <c r="AD1971" s="116"/>
      <c r="AE1971" s="116"/>
      <c r="AF1971" s="116"/>
      <c r="AG1971" s="116"/>
      <c r="AH1971" s="116"/>
      <c r="AI1971" s="116"/>
    </row>
    <row r="1972" spans="27:35" ht="18">
      <c r="AA1972" s="116"/>
      <c r="AB1972" s="87"/>
      <c r="AC1972" s="116"/>
      <c r="AD1972" s="116"/>
      <c r="AE1972" s="116"/>
      <c r="AF1972" s="116"/>
      <c r="AG1972" s="116"/>
      <c r="AH1972" s="116"/>
      <c r="AI1972" s="116"/>
    </row>
    <row r="1973" spans="27:35" ht="18">
      <c r="AA1973" s="116"/>
      <c r="AB1973" s="184"/>
      <c r="AC1973" s="116"/>
      <c r="AD1973" s="116"/>
      <c r="AE1973" s="116"/>
      <c r="AF1973" s="116"/>
      <c r="AG1973" s="116"/>
      <c r="AH1973" s="116"/>
      <c r="AI1973" s="116"/>
    </row>
    <row r="1974" spans="27:35" ht="18">
      <c r="AA1974" s="116"/>
      <c r="AB1974" s="184"/>
      <c r="AC1974" s="116"/>
      <c r="AD1974" s="116"/>
      <c r="AE1974" s="116"/>
      <c r="AF1974" s="116"/>
      <c r="AG1974" s="116"/>
      <c r="AH1974" s="116"/>
      <c r="AI1974" s="116"/>
    </row>
    <row r="1975" spans="27:35" ht="18">
      <c r="AA1975" s="116"/>
      <c r="AB1975" s="87"/>
      <c r="AC1975" s="116"/>
      <c r="AD1975" s="116"/>
      <c r="AE1975" s="116"/>
      <c r="AF1975" s="116"/>
      <c r="AG1975" s="116"/>
      <c r="AH1975" s="116"/>
      <c r="AI1975" s="116"/>
    </row>
    <row r="1976" spans="27:35" ht="18">
      <c r="AA1976" s="116"/>
      <c r="AB1976" s="87"/>
      <c r="AC1976" s="116"/>
      <c r="AD1976" s="116"/>
      <c r="AE1976" s="116"/>
      <c r="AF1976" s="116"/>
      <c r="AG1976" s="116"/>
      <c r="AH1976" s="116"/>
      <c r="AI1976" s="116"/>
    </row>
    <row r="1977" spans="27:35" ht="18">
      <c r="AA1977" s="116"/>
      <c r="AB1977" s="87"/>
      <c r="AC1977" s="116"/>
      <c r="AD1977" s="116"/>
      <c r="AE1977" s="116"/>
      <c r="AF1977" s="116"/>
      <c r="AG1977" s="116"/>
      <c r="AH1977" s="116"/>
      <c r="AI1977" s="116"/>
    </row>
    <row r="1978" spans="27:35" ht="18">
      <c r="AA1978" s="116"/>
      <c r="AB1978" s="87"/>
      <c r="AC1978" s="116"/>
      <c r="AD1978" s="116"/>
      <c r="AE1978" s="116"/>
      <c r="AF1978" s="116"/>
      <c r="AG1978" s="116"/>
      <c r="AH1978" s="116"/>
      <c r="AI1978" s="116"/>
    </row>
    <row r="1979" spans="27:35" ht="18">
      <c r="AA1979" s="116"/>
      <c r="AB1979" s="87"/>
      <c r="AC1979" s="116"/>
      <c r="AD1979" s="116"/>
      <c r="AE1979" s="116"/>
      <c r="AF1979" s="116"/>
      <c r="AG1979" s="116"/>
      <c r="AH1979" s="116"/>
      <c r="AI1979" s="116"/>
    </row>
    <row r="1980" spans="27:35" ht="18">
      <c r="AA1980" s="116"/>
      <c r="AB1980" s="184"/>
      <c r="AC1980" s="116"/>
      <c r="AD1980" s="116"/>
      <c r="AE1980" s="116"/>
      <c r="AF1980" s="116"/>
      <c r="AG1980" s="116"/>
      <c r="AH1980" s="116"/>
      <c r="AI1980" s="116"/>
    </row>
    <row r="1981" spans="27:35" ht="18">
      <c r="AA1981" s="116"/>
      <c r="AB1981" s="184"/>
      <c r="AC1981" s="116"/>
      <c r="AD1981" s="116"/>
      <c r="AE1981" s="116"/>
      <c r="AF1981" s="116"/>
      <c r="AG1981" s="116"/>
      <c r="AH1981" s="116"/>
      <c r="AI1981" s="116"/>
    </row>
    <row r="1982" spans="27:35" ht="18">
      <c r="AA1982" s="116"/>
      <c r="AB1982" s="184"/>
      <c r="AC1982" s="116"/>
      <c r="AD1982" s="116"/>
      <c r="AE1982" s="116"/>
      <c r="AF1982" s="116"/>
      <c r="AG1982" s="116"/>
      <c r="AH1982" s="116"/>
      <c r="AI1982" s="116"/>
    </row>
    <row r="1983" spans="27:35" ht="18">
      <c r="AA1983" s="116"/>
      <c r="AB1983" s="87"/>
      <c r="AC1983" s="116"/>
      <c r="AD1983" s="116"/>
      <c r="AE1983" s="116"/>
      <c r="AF1983" s="116"/>
      <c r="AG1983" s="116"/>
      <c r="AH1983" s="116"/>
      <c r="AI1983" s="116"/>
    </row>
    <row r="1984" spans="27:35" ht="18">
      <c r="AA1984" s="116"/>
      <c r="AB1984" s="87"/>
      <c r="AC1984" s="116"/>
      <c r="AD1984" s="116"/>
      <c r="AE1984" s="116"/>
      <c r="AF1984" s="116"/>
      <c r="AG1984" s="116"/>
      <c r="AH1984" s="116"/>
      <c r="AI1984" s="116"/>
    </row>
    <row r="1985" spans="27:35" ht="18">
      <c r="AA1985" s="116"/>
      <c r="AB1985" s="184"/>
      <c r="AC1985" s="116"/>
      <c r="AD1985" s="116"/>
      <c r="AE1985" s="116"/>
      <c r="AF1985" s="116"/>
      <c r="AG1985" s="116"/>
      <c r="AH1985" s="116"/>
      <c r="AI1985" s="116"/>
    </row>
    <row r="1986" spans="27:35" ht="18">
      <c r="AA1986" s="116"/>
      <c r="AB1986" s="87"/>
      <c r="AC1986" s="116"/>
      <c r="AD1986" s="116"/>
      <c r="AE1986" s="116"/>
      <c r="AF1986" s="116"/>
      <c r="AG1986" s="116"/>
      <c r="AH1986" s="116"/>
      <c r="AI1986" s="116"/>
    </row>
    <row r="1987" spans="27:35" ht="18">
      <c r="AA1987" s="116"/>
      <c r="AB1987" s="87"/>
      <c r="AC1987" s="116"/>
      <c r="AD1987" s="116"/>
      <c r="AE1987" s="116"/>
      <c r="AF1987" s="116"/>
      <c r="AG1987" s="116"/>
      <c r="AH1987" s="116"/>
      <c r="AI1987" s="116"/>
    </row>
    <row r="1988" spans="27:35" ht="18">
      <c r="AA1988" s="116"/>
      <c r="AB1988" s="184"/>
      <c r="AC1988" s="116"/>
      <c r="AD1988" s="116"/>
      <c r="AE1988" s="116"/>
      <c r="AF1988" s="116"/>
      <c r="AG1988" s="116"/>
      <c r="AH1988" s="116"/>
      <c r="AI1988" s="116"/>
    </row>
    <row r="1989" spans="27:35" ht="18">
      <c r="AA1989" s="116"/>
      <c r="AB1989" s="184"/>
      <c r="AC1989" s="116"/>
      <c r="AD1989" s="116"/>
      <c r="AE1989" s="116"/>
      <c r="AF1989" s="116"/>
      <c r="AG1989" s="116"/>
      <c r="AH1989" s="116"/>
      <c r="AI1989" s="116"/>
    </row>
    <row r="1990" spans="27:35" ht="18">
      <c r="AA1990" s="116"/>
      <c r="AB1990" s="87"/>
      <c r="AC1990" s="116"/>
      <c r="AD1990" s="116"/>
      <c r="AE1990" s="116"/>
      <c r="AF1990" s="116"/>
      <c r="AG1990" s="116"/>
      <c r="AH1990" s="116"/>
      <c r="AI1990" s="116"/>
    </row>
    <row r="1991" spans="27:35" ht="18">
      <c r="AA1991" s="116"/>
      <c r="AB1991" s="87"/>
      <c r="AC1991" s="116"/>
      <c r="AD1991" s="116"/>
      <c r="AE1991" s="116"/>
      <c r="AF1991" s="116"/>
      <c r="AG1991" s="116"/>
      <c r="AH1991" s="116"/>
      <c r="AI1991" s="116"/>
    </row>
    <row r="1992" spans="27:35" ht="18">
      <c r="AA1992" s="116"/>
      <c r="AB1992" s="184"/>
      <c r="AC1992" s="116"/>
      <c r="AD1992" s="116"/>
      <c r="AE1992" s="116"/>
      <c r="AF1992" s="116"/>
      <c r="AG1992" s="116"/>
      <c r="AH1992" s="116"/>
      <c r="AI1992" s="116"/>
    </row>
    <row r="1993" spans="27:35" ht="18">
      <c r="AA1993" s="116"/>
      <c r="AB1993" s="87"/>
      <c r="AC1993" s="116"/>
      <c r="AD1993" s="116"/>
      <c r="AE1993" s="116"/>
      <c r="AF1993" s="116"/>
      <c r="AG1993" s="116"/>
      <c r="AH1993" s="116"/>
      <c r="AI1993" s="116"/>
    </row>
    <row r="1994" spans="27:35" ht="18">
      <c r="AA1994" s="116"/>
      <c r="AB1994" s="87"/>
      <c r="AC1994" s="116"/>
      <c r="AD1994" s="116"/>
      <c r="AE1994" s="116"/>
      <c r="AF1994" s="116"/>
      <c r="AG1994" s="116"/>
      <c r="AH1994" s="116"/>
      <c r="AI1994" s="116"/>
    </row>
    <row r="1995" spans="27:35" ht="18">
      <c r="AA1995" s="116"/>
      <c r="AB1995" s="87"/>
      <c r="AC1995" s="116"/>
      <c r="AD1995" s="116"/>
      <c r="AE1995" s="116"/>
      <c r="AF1995" s="116"/>
      <c r="AG1995" s="116"/>
      <c r="AH1995" s="116"/>
      <c r="AI1995" s="116"/>
    </row>
    <row r="1996" spans="27:35" ht="18">
      <c r="AA1996" s="116"/>
      <c r="AB1996" s="87"/>
      <c r="AC1996" s="116"/>
      <c r="AD1996" s="116"/>
      <c r="AE1996" s="116"/>
      <c r="AF1996" s="116"/>
      <c r="AG1996" s="116"/>
      <c r="AH1996" s="116"/>
      <c r="AI1996" s="116"/>
    </row>
    <row r="1997" spans="27:35" ht="18">
      <c r="AA1997" s="116"/>
      <c r="AB1997" s="87"/>
      <c r="AC1997" s="116"/>
      <c r="AD1997" s="116"/>
      <c r="AE1997" s="116"/>
      <c r="AF1997" s="116"/>
      <c r="AG1997" s="116"/>
      <c r="AH1997" s="116"/>
      <c r="AI1997" s="116"/>
    </row>
    <row r="1998" spans="27:35" ht="18">
      <c r="AA1998" s="116"/>
      <c r="AB1998" s="184"/>
      <c r="AC1998" s="116"/>
      <c r="AD1998" s="116"/>
      <c r="AE1998" s="116"/>
      <c r="AF1998" s="116"/>
      <c r="AG1998" s="116"/>
      <c r="AH1998" s="116"/>
      <c r="AI1998" s="116"/>
    </row>
    <row r="1999" spans="27:35" ht="18">
      <c r="AA1999" s="116"/>
      <c r="AB1999" s="87"/>
      <c r="AC1999" s="116"/>
      <c r="AD1999" s="116"/>
      <c r="AE1999" s="116"/>
      <c r="AF1999" s="116"/>
      <c r="AG1999" s="116"/>
      <c r="AH1999" s="116"/>
      <c r="AI1999" s="116"/>
    </row>
    <row r="2000" spans="27:35" ht="18">
      <c r="AA2000" s="116"/>
      <c r="AB2000" s="87"/>
      <c r="AC2000" s="116"/>
      <c r="AD2000" s="116"/>
      <c r="AE2000" s="116"/>
      <c r="AF2000" s="116"/>
      <c r="AG2000" s="116"/>
      <c r="AH2000" s="116"/>
      <c r="AI2000" s="116"/>
    </row>
    <row r="2001" spans="27:35" ht="18">
      <c r="AA2001" s="116"/>
      <c r="AB2001" s="87"/>
      <c r="AC2001" s="116"/>
      <c r="AD2001" s="116"/>
      <c r="AE2001" s="116"/>
      <c r="AF2001" s="116"/>
      <c r="AG2001" s="116"/>
      <c r="AH2001" s="116"/>
      <c r="AI2001" s="116"/>
    </row>
    <row r="2002" spans="27:35" ht="18">
      <c r="AA2002" s="116"/>
      <c r="AB2002" s="87"/>
      <c r="AC2002" s="116"/>
      <c r="AD2002" s="116"/>
      <c r="AE2002" s="116"/>
      <c r="AF2002" s="116"/>
      <c r="AG2002" s="116"/>
      <c r="AH2002" s="116"/>
      <c r="AI2002" s="116"/>
    </row>
    <row r="2003" spans="27:35" ht="18">
      <c r="AA2003" s="116"/>
      <c r="AB2003" s="184"/>
      <c r="AC2003" s="116"/>
      <c r="AD2003" s="116"/>
      <c r="AE2003" s="116"/>
      <c r="AF2003" s="116"/>
      <c r="AG2003" s="116"/>
      <c r="AH2003" s="116"/>
      <c r="AI2003" s="116"/>
    </row>
    <row r="2004" spans="27:35" ht="18">
      <c r="AA2004" s="116"/>
      <c r="AB2004" s="184"/>
      <c r="AC2004" s="116"/>
      <c r="AD2004" s="116"/>
      <c r="AE2004" s="116"/>
      <c r="AF2004" s="116"/>
      <c r="AG2004" s="116"/>
      <c r="AH2004" s="116"/>
      <c r="AI2004" s="116"/>
    </row>
    <row r="2005" spans="27:35" ht="18">
      <c r="AA2005" s="116"/>
      <c r="AB2005" s="87"/>
      <c r="AC2005" s="116"/>
      <c r="AD2005" s="116"/>
      <c r="AE2005" s="116"/>
      <c r="AF2005" s="116"/>
      <c r="AG2005" s="116"/>
      <c r="AH2005" s="116"/>
      <c r="AI2005" s="116"/>
    </row>
    <row r="2006" spans="27:35" ht="18">
      <c r="AA2006" s="116"/>
      <c r="AB2006" s="87"/>
      <c r="AC2006" s="116"/>
      <c r="AD2006" s="116"/>
      <c r="AE2006" s="116"/>
      <c r="AF2006" s="116"/>
      <c r="AG2006" s="116"/>
      <c r="AH2006" s="116"/>
      <c r="AI2006" s="116"/>
    </row>
    <row r="2007" spans="27:35" ht="18">
      <c r="AA2007" s="116"/>
      <c r="AB2007" s="87"/>
      <c r="AC2007" s="116"/>
      <c r="AD2007" s="116"/>
      <c r="AE2007" s="116"/>
      <c r="AF2007" s="116"/>
      <c r="AG2007" s="116"/>
      <c r="AH2007" s="116"/>
      <c r="AI2007" s="116"/>
    </row>
    <row r="2008" spans="27:35" ht="18">
      <c r="AA2008" s="116"/>
      <c r="AB2008" s="87"/>
      <c r="AC2008" s="116"/>
      <c r="AD2008" s="116"/>
      <c r="AE2008" s="116"/>
      <c r="AF2008" s="116"/>
      <c r="AG2008" s="116"/>
      <c r="AH2008" s="116"/>
      <c r="AI2008" s="116"/>
    </row>
    <row r="2009" spans="27:35" ht="18">
      <c r="AA2009" s="116"/>
      <c r="AB2009" s="87"/>
      <c r="AC2009" s="116"/>
      <c r="AD2009" s="116"/>
      <c r="AE2009" s="116"/>
      <c r="AF2009" s="116"/>
      <c r="AG2009" s="116"/>
      <c r="AH2009" s="116"/>
      <c r="AI2009" s="116"/>
    </row>
    <row r="2010" spans="27:35" ht="18">
      <c r="AA2010" s="116"/>
      <c r="AB2010" s="87"/>
      <c r="AC2010" s="116"/>
      <c r="AD2010" s="116"/>
      <c r="AE2010" s="116"/>
      <c r="AF2010" s="116"/>
      <c r="AG2010" s="116"/>
      <c r="AH2010" s="116"/>
      <c r="AI2010" s="116"/>
    </row>
    <row r="2011" spans="27:35" ht="18">
      <c r="AA2011" s="116"/>
      <c r="AB2011" s="184"/>
      <c r="AC2011" s="116"/>
      <c r="AD2011" s="116"/>
      <c r="AE2011" s="116"/>
      <c r="AF2011" s="116"/>
      <c r="AG2011" s="116"/>
      <c r="AH2011" s="116"/>
      <c r="AI2011" s="116"/>
    </row>
    <row r="2012" spans="27:35" ht="18">
      <c r="AA2012" s="116"/>
      <c r="AB2012" s="184"/>
      <c r="AC2012" s="116"/>
      <c r="AD2012" s="116"/>
      <c r="AE2012" s="116"/>
      <c r="AF2012" s="116"/>
      <c r="AG2012" s="116"/>
      <c r="AH2012" s="116"/>
      <c r="AI2012" s="116"/>
    </row>
    <row r="2013" spans="27:35" ht="18">
      <c r="AA2013" s="116"/>
      <c r="AB2013" s="184"/>
      <c r="AC2013" s="116"/>
      <c r="AD2013" s="116"/>
      <c r="AE2013" s="116"/>
      <c r="AF2013" s="116"/>
      <c r="AG2013" s="116"/>
      <c r="AH2013" s="116"/>
      <c r="AI2013" s="116"/>
    </row>
    <row r="2014" spans="27:35" ht="18">
      <c r="AA2014" s="116"/>
      <c r="AB2014" s="87"/>
      <c r="AC2014" s="116"/>
      <c r="AD2014" s="116"/>
      <c r="AE2014" s="116"/>
      <c r="AF2014" s="116"/>
      <c r="AG2014" s="116"/>
      <c r="AH2014" s="116"/>
      <c r="AI2014" s="116"/>
    </row>
    <row r="2015" spans="27:35" ht="18">
      <c r="AA2015" s="116"/>
      <c r="AB2015" s="87"/>
      <c r="AC2015" s="116"/>
      <c r="AD2015" s="116"/>
      <c r="AE2015" s="116"/>
      <c r="AF2015" s="116"/>
      <c r="AG2015" s="116"/>
      <c r="AH2015" s="116"/>
      <c r="AI2015" s="116"/>
    </row>
    <row r="2016" spans="27:35" ht="18">
      <c r="AA2016" s="116"/>
      <c r="AB2016" s="184"/>
      <c r="AC2016" s="116"/>
      <c r="AD2016" s="116"/>
      <c r="AE2016" s="116"/>
      <c r="AF2016" s="116"/>
      <c r="AG2016" s="116"/>
      <c r="AH2016" s="116"/>
      <c r="AI2016" s="116"/>
    </row>
    <row r="2017" spans="27:35" ht="18">
      <c r="AA2017" s="116"/>
      <c r="AB2017" s="87"/>
      <c r="AC2017" s="116"/>
      <c r="AD2017" s="116"/>
      <c r="AE2017" s="116"/>
      <c r="AF2017" s="116"/>
      <c r="AG2017" s="116"/>
      <c r="AH2017" s="116"/>
      <c r="AI2017" s="116"/>
    </row>
    <row r="2018" spans="27:35" ht="18">
      <c r="AA2018" s="116"/>
      <c r="AB2018" s="87"/>
      <c r="AC2018" s="116"/>
      <c r="AD2018" s="116"/>
      <c r="AE2018" s="116"/>
      <c r="AF2018" s="116"/>
      <c r="AG2018" s="116"/>
      <c r="AH2018" s="116"/>
      <c r="AI2018" s="116"/>
    </row>
    <row r="2019" spans="27:35" ht="18">
      <c r="AA2019" s="116"/>
      <c r="AB2019" s="184"/>
      <c r="AC2019" s="116"/>
      <c r="AD2019" s="116"/>
      <c r="AE2019" s="116"/>
      <c r="AF2019" s="116"/>
      <c r="AG2019" s="116"/>
      <c r="AH2019" s="116"/>
      <c r="AI2019" s="116"/>
    </row>
    <row r="2020" spans="27:35" ht="18">
      <c r="AA2020" s="116"/>
      <c r="AB2020" s="87"/>
      <c r="AC2020" s="116"/>
      <c r="AD2020" s="116"/>
      <c r="AE2020" s="116"/>
      <c r="AF2020" s="116"/>
      <c r="AG2020" s="116"/>
      <c r="AH2020" s="116"/>
      <c r="AI2020" s="116"/>
    </row>
    <row r="2021" spans="27:35" ht="18">
      <c r="AA2021" s="116"/>
      <c r="AB2021" s="87"/>
      <c r="AC2021" s="116"/>
      <c r="AD2021" s="116"/>
      <c r="AE2021" s="116"/>
      <c r="AF2021" s="116"/>
      <c r="AG2021" s="116"/>
      <c r="AH2021" s="116"/>
      <c r="AI2021" s="116"/>
    </row>
    <row r="2022" spans="27:35" ht="18">
      <c r="AA2022" s="116"/>
      <c r="AB2022" s="87"/>
      <c r="AC2022" s="116"/>
      <c r="AD2022" s="116"/>
      <c r="AE2022" s="116"/>
      <c r="AF2022" s="116"/>
      <c r="AG2022" s="116"/>
      <c r="AH2022" s="116"/>
      <c r="AI2022" s="116"/>
    </row>
    <row r="2023" spans="27:35" ht="18">
      <c r="AA2023" s="116"/>
      <c r="AB2023" s="87"/>
      <c r="AC2023" s="116"/>
      <c r="AD2023" s="116"/>
      <c r="AE2023" s="116"/>
      <c r="AF2023" s="116"/>
      <c r="AG2023" s="116"/>
      <c r="AH2023" s="116"/>
      <c r="AI2023" s="116"/>
    </row>
    <row r="2024" spans="27:35" ht="18">
      <c r="AA2024" s="116"/>
      <c r="AB2024" s="87"/>
      <c r="AC2024" s="116"/>
      <c r="AD2024" s="116"/>
      <c r="AE2024" s="116"/>
      <c r="AF2024" s="116"/>
      <c r="AG2024" s="116"/>
      <c r="AH2024" s="116"/>
      <c r="AI2024" s="116"/>
    </row>
    <row r="2025" spans="27:35" ht="18">
      <c r="AA2025" s="116"/>
      <c r="AB2025" s="87"/>
      <c r="AC2025" s="116"/>
      <c r="AD2025" s="116"/>
      <c r="AE2025" s="116"/>
      <c r="AF2025" s="116"/>
      <c r="AG2025" s="116"/>
      <c r="AH2025" s="116"/>
      <c r="AI2025" s="116"/>
    </row>
    <row r="2026" spans="27:35" ht="18">
      <c r="AA2026" s="116"/>
      <c r="AB2026" s="87"/>
      <c r="AC2026" s="116"/>
      <c r="AD2026" s="116"/>
      <c r="AE2026" s="116"/>
      <c r="AF2026" s="116"/>
      <c r="AG2026" s="116"/>
      <c r="AH2026" s="116"/>
      <c r="AI2026" s="116"/>
    </row>
    <row r="2027" spans="27:35" ht="18">
      <c r="AA2027" s="116"/>
      <c r="AB2027" s="87"/>
      <c r="AC2027" s="116"/>
      <c r="AD2027" s="116"/>
      <c r="AE2027" s="116"/>
      <c r="AF2027" s="116"/>
      <c r="AG2027" s="116"/>
      <c r="AH2027" s="116"/>
      <c r="AI2027" s="116"/>
    </row>
    <row r="2028" spans="27:35" ht="18">
      <c r="AA2028" s="116"/>
      <c r="AB2028" s="87"/>
      <c r="AC2028" s="116"/>
      <c r="AD2028" s="116"/>
      <c r="AE2028" s="116"/>
      <c r="AF2028" s="116"/>
      <c r="AG2028" s="116"/>
      <c r="AH2028" s="116"/>
      <c r="AI2028" s="116"/>
    </row>
    <row r="2029" spans="27:35" ht="18">
      <c r="AA2029" s="116"/>
      <c r="AB2029" s="87"/>
      <c r="AC2029" s="116"/>
      <c r="AD2029" s="116"/>
      <c r="AE2029" s="116"/>
      <c r="AF2029" s="116"/>
      <c r="AG2029" s="116"/>
      <c r="AH2029" s="116"/>
      <c r="AI2029" s="116"/>
    </row>
    <row r="2030" spans="27:35" ht="18">
      <c r="AA2030" s="116"/>
      <c r="AB2030" s="87"/>
      <c r="AC2030" s="116"/>
      <c r="AD2030" s="116"/>
      <c r="AE2030" s="116"/>
      <c r="AF2030" s="116"/>
      <c r="AG2030" s="116"/>
      <c r="AH2030" s="116"/>
      <c r="AI2030" s="116"/>
    </row>
    <row r="2031" spans="27:35" ht="18">
      <c r="AA2031" s="116"/>
      <c r="AB2031" s="87"/>
      <c r="AC2031" s="116"/>
      <c r="AD2031" s="116"/>
      <c r="AE2031" s="116"/>
      <c r="AF2031" s="116"/>
      <c r="AG2031" s="116"/>
      <c r="AH2031" s="116"/>
      <c r="AI2031" s="116"/>
    </row>
    <row r="2032" spans="27:35" ht="18">
      <c r="AA2032" s="116"/>
      <c r="AB2032" s="87"/>
      <c r="AC2032" s="116"/>
      <c r="AD2032" s="116"/>
      <c r="AE2032" s="116"/>
      <c r="AF2032" s="116"/>
      <c r="AG2032" s="116"/>
      <c r="AH2032" s="116"/>
      <c r="AI2032" s="116"/>
    </row>
    <row r="2033" spans="27:35" ht="18">
      <c r="AA2033" s="116"/>
      <c r="AB2033" s="87"/>
      <c r="AC2033" s="116"/>
      <c r="AD2033" s="116"/>
      <c r="AE2033" s="116"/>
      <c r="AF2033" s="116"/>
      <c r="AG2033" s="116"/>
      <c r="AH2033" s="116"/>
      <c r="AI2033" s="116"/>
    </row>
    <row r="2034" spans="27:35" ht="18">
      <c r="AA2034" s="116"/>
      <c r="AB2034" s="87"/>
      <c r="AC2034" s="116"/>
      <c r="AD2034" s="116"/>
      <c r="AE2034" s="116"/>
      <c r="AF2034" s="116"/>
      <c r="AG2034" s="116"/>
      <c r="AH2034" s="116"/>
      <c r="AI2034" s="116"/>
    </row>
    <row r="2035" spans="27:35" ht="18">
      <c r="AA2035" s="116"/>
      <c r="AB2035" s="87"/>
      <c r="AC2035" s="116"/>
      <c r="AD2035" s="116"/>
      <c r="AE2035" s="116"/>
      <c r="AF2035" s="116"/>
      <c r="AG2035" s="116"/>
      <c r="AH2035" s="116"/>
      <c r="AI2035" s="116"/>
    </row>
    <row r="2036" spans="27:35" ht="18">
      <c r="AA2036" s="116"/>
      <c r="AB2036" s="87"/>
      <c r="AC2036" s="116"/>
      <c r="AD2036" s="116"/>
      <c r="AE2036" s="116"/>
      <c r="AF2036" s="116"/>
      <c r="AG2036" s="116"/>
      <c r="AH2036" s="116"/>
      <c r="AI2036" s="116"/>
    </row>
    <row r="2037" spans="27:35" ht="18">
      <c r="AA2037" s="116"/>
      <c r="AB2037" s="87"/>
      <c r="AC2037" s="116"/>
      <c r="AD2037" s="116"/>
      <c r="AE2037" s="116"/>
      <c r="AF2037" s="116"/>
      <c r="AG2037" s="116"/>
      <c r="AH2037" s="116"/>
      <c r="AI2037" s="116"/>
    </row>
    <row r="2038" spans="27:35" ht="18">
      <c r="AA2038" s="116"/>
      <c r="AB2038" s="87"/>
      <c r="AC2038" s="116"/>
      <c r="AD2038" s="116"/>
      <c r="AE2038" s="116"/>
      <c r="AF2038" s="116"/>
      <c r="AG2038" s="116"/>
      <c r="AH2038" s="116"/>
      <c r="AI2038" s="116"/>
    </row>
    <row r="2039" spans="27:35" ht="18">
      <c r="AA2039" s="116"/>
      <c r="AB2039" s="87"/>
      <c r="AC2039" s="116"/>
      <c r="AD2039" s="116"/>
      <c r="AE2039" s="116"/>
      <c r="AF2039" s="116"/>
      <c r="AG2039" s="116"/>
      <c r="AH2039" s="116"/>
      <c r="AI2039" s="116"/>
    </row>
    <row r="2040" spans="27:35" ht="18">
      <c r="AA2040" s="116"/>
      <c r="AB2040" s="87"/>
      <c r="AC2040" s="116"/>
      <c r="AD2040" s="116"/>
      <c r="AE2040" s="116"/>
      <c r="AF2040" s="116"/>
      <c r="AG2040" s="116"/>
      <c r="AH2040" s="116"/>
      <c r="AI2040" s="116"/>
    </row>
    <row r="2041" spans="27:35" ht="18">
      <c r="AA2041" s="116"/>
      <c r="AB2041" s="87"/>
      <c r="AC2041" s="116"/>
      <c r="AD2041" s="116"/>
      <c r="AE2041" s="116"/>
      <c r="AF2041" s="116"/>
      <c r="AG2041" s="116"/>
      <c r="AH2041" s="116"/>
      <c r="AI2041" s="116"/>
    </row>
    <row r="2042" spans="27:35" ht="18">
      <c r="AA2042" s="116"/>
      <c r="AB2042" s="87"/>
      <c r="AC2042" s="116"/>
      <c r="AD2042" s="116"/>
      <c r="AE2042" s="116"/>
      <c r="AF2042" s="116"/>
      <c r="AG2042" s="116"/>
      <c r="AH2042" s="116"/>
      <c r="AI2042" s="116"/>
    </row>
    <row r="2043" spans="27:35" ht="18">
      <c r="AA2043" s="116"/>
      <c r="AB2043" s="87"/>
      <c r="AC2043" s="116"/>
      <c r="AD2043" s="116"/>
      <c r="AE2043" s="116"/>
      <c r="AF2043" s="116"/>
      <c r="AG2043" s="116"/>
      <c r="AH2043" s="116"/>
      <c r="AI2043" s="116"/>
    </row>
    <row r="2044" spans="27:35" ht="18">
      <c r="AA2044" s="116"/>
      <c r="AB2044" s="87"/>
      <c r="AC2044" s="116"/>
      <c r="AD2044" s="116"/>
      <c r="AE2044" s="116"/>
      <c r="AF2044" s="116"/>
      <c r="AG2044" s="116"/>
      <c r="AH2044" s="116"/>
      <c r="AI2044" s="116"/>
    </row>
    <row r="2045" spans="27:35" ht="18">
      <c r="AA2045" s="116"/>
      <c r="AB2045" s="87"/>
      <c r="AC2045" s="116"/>
      <c r="AD2045" s="116"/>
      <c r="AE2045" s="116"/>
      <c r="AF2045" s="116"/>
      <c r="AG2045" s="116"/>
      <c r="AH2045" s="116"/>
      <c r="AI2045" s="116"/>
    </row>
    <row r="2046" spans="27:35" ht="18">
      <c r="AA2046" s="116"/>
      <c r="AB2046" s="87"/>
      <c r="AC2046" s="116"/>
      <c r="AD2046" s="116"/>
      <c r="AE2046" s="116"/>
      <c r="AF2046" s="116"/>
      <c r="AG2046" s="116"/>
      <c r="AH2046" s="116"/>
      <c r="AI2046" s="116"/>
    </row>
    <row r="2047" spans="27:35" ht="18">
      <c r="AA2047" s="116"/>
      <c r="AB2047" s="87"/>
      <c r="AC2047" s="116"/>
      <c r="AD2047" s="116"/>
      <c r="AE2047" s="116"/>
      <c r="AF2047" s="116"/>
      <c r="AG2047" s="116"/>
      <c r="AH2047" s="116"/>
      <c r="AI2047" s="116"/>
    </row>
    <row r="2048" spans="27:35" ht="18">
      <c r="AA2048" s="116"/>
      <c r="AB2048" s="87"/>
      <c r="AC2048" s="116"/>
      <c r="AD2048" s="116"/>
      <c r="AE2048" s="116"/>
      <c r="AF2048" s="116"/>
      <c r="AG2048" s="116"/>
      <c r="AH2048" s="116"/>
      <c r="AI2048" s="116"/>
    </row>
    <row r="2049" spans="27:35" ht="18">
      <c r="AA2049" s="116"/>
      <c r="AB2049" s="87"/>
      <c r="AC2049" s="116"/>
      <c r="AD2049" s="116"/>
      <c r="AE2049" s="116"/>
      <c r="AF2049" s="116"/>
      <c r="AG2049" s="116"/>
      <c r="AH2049" s="116"/>
      <c r="AI2049" s="116"/>
    </row>
    <row r="2050" spans="27:35" ht="18">
      <c r="AA2050" s="116"/>
      <c r="AB2050" s="87"/>
      <c r="AC2050" s="116"/>
      <c r="AD2050" s="116"/>
      <c r="AE2050" s="116"/>
      <c r="AF2050" s="116"/>
      <c r="AG2050" s="116"/>
      <c r="AH2050" s="116"/>
      <c r="AI2050" s="116"/>
    </row>
    <row r="2051" spans="27:35" ht="18">
      <c r="AA2051" s="116"/>
      <c r="AB2051" s="87"/>
      <c r="AC2051" s="116"/>
      <c r="AD2051" s="116"/>
      <c r="AE2051" s="116"/>
      <c r="AF2051" s="116"/>
      <c r="AG2051" s="116"/>
      <c r="AH2051" s="116"/>
      <c r="AI2051" s="116"/>
    </row>
    <row r="2052" spans="27:35" ht="18">
      <c r="AA2052" s="116"/>
      <c r="AB2052" s="87"/>
      <c r="AC2052" s="116"/>
      <c r="AD2052" s="116"/>
      <c r="AE2052" s="116"/>
      <c r="AF2052" s="116"/>
      <c r="AG2052" s="116"/>
      <c r="AH2052" s="116"/>
      <c r="AI2052" s="116"/>
    </row>
    <row r="2053" spans="27:35" ht="18">
      <c r="AA2053" s="116"/>
      <c r="AB2053" s="87"/>
      <c r="AC2053" s="116"/>
      <c r="AD2053" s="116"/>
      <c r="AE2053" s="116"/>
      <c r="AF2053" s="116"/>
      <c r="AG2053" s="116"/>
      <c r="AH2053" s="116"/>
      <c r="AI2053" s="116"/>
    </row>
    <row r="2054" spans="27:35" ht="18">
      <c r="AA2054" s="116"/>
      <c r="AB2054" s="87"/>
      <c r="AC2054" s="116"/>
      <c r="AD2054" s="116"/>
      <c r="AE2054" s="116"/>
      <c r="AF2054" s="116"/>
      <c r="AG2054" s="116"/>
      <c r="AH2054" s="116"/>
      <c r="AI2054" s="116"/>
    </row>
    <row r="2055" spans="27:35" ht="18">
      <c r="AA2055" s="116"/>
      <c r="AB2055" s="87"/>
      <c r="AC2055" s="116"/>
      <c r="AD2055" s="116"/>
      <c r="AE2055" s="116"/>
      <c r="AF2055" s="116"/>
      <c r="AG2055" s="116"/>
      <c r="AH2055" s="116"/>
      <c r="AI2055" s="116"/>
    </row>
    <row r="2056" spans="27:35" ht="18">
      <c r="AA2056" s="116"/>
      <c r="AB2056" s="87"/>
      <c r="AC2056" s="116"/>
      <c r="AD2056" s="116"/>
      <c r="AE2056" s="116"/>
      <c r="AF2056" s="116"/>
      <c r="AG2056" s="116"/>
      <c r="AH2056" s="116"/>
      <c r="AI2056" s="116"/>
    </row>
    <row r="2057" spans="27:35" ht="18">
      <c r="AA2057" s="116"/>
      <c r="AB2057" s="87"/>
      <c r="AC2057" s="116"/>
      <c r="AD2057" s="116"/>
      <c r="AE2057" s="116"/>
      <c r="AF2057" s="116"/>
      <c r="AG2057" s="116"/>
      <c r="AH2057" s="116"/>
      <c r="AI2057" s="116"/>
    </row>
    <row r="2058" spans="27:35" ht="18">
      <c r="AA2058" s="116"/>
      <c r="AB2058" s="87"/>
      <c r="AC2058" s="116"/>
      <c r="AD2058" s="116"/>
      <c r="AE2058" s="116"/>
      <c r="AF2058" s="116"/>
      <c r="AG2058" s="116"/>
      <c r="AH2058" s="116"/>
      <c r="AI2058" s="116"/>
    </row>
    <row r="2059" spans="27:35" ht="18">
      <c r="AA2059" s="116"/>
      <c r="AB2059" s="87"/>
      <c r="AC2059" s="116"/>
      <c r="AD2059" s="116"/>
      <c r="AE2059" s="116"/>
      <c r="AF2059" s="116"/>
      <c r="AG2059" s="116"/>
      <c r="AH2059" s="116"/>
      <c r="AI2059" s="116"/>
    </row>
    <row r="2060" spans="27:35" ht="18">
      <c r="AA2060" s="116"/>
      <c r="AB2060" s="87"/>
      <c r="AC2060" s="116"/>
      <c r="AD2060" s="116"/>
      <c r="AE2060" s="116"/>
      <c r="AF2060" s="116"/>
      <c r="AG2060" s="116"/>
      <c r="AH2060" s="116"/>
      <c r="AI2060" s="116"/>
    </row>
    <row r="2061" spans="27:35" ht="18">
      <c r="AA2061" s="116"/>
      <c r="AB2061" s="184"/>
      <c r="AC2061" s="116"/>
      <c r="AD2061" s="116"/>
      <c r="AE2061" s="116"/>
      <c r="AF2061" s="116"/>
      <c r="AG2061" s="116"/>
      <c r="AH2061" s="116"/>
      <c r="AI2061" s="116"/>
    </row>
    <row r="2062" spans="27:35" ht="18">
      <c r="AA2062" s="116"/>
      <c r="AB2062" s="184"/>
      <c r="AC2062" s="116"/>
      <c r="AD2062" s="116"/>
      <c r="AE2062" s="116"/>
      <c r="AF2062" s="116"/>
      <c r="AG2062" s="116"/>
      <c r="AH2062" s="116"/>
      <c r="AI2062" s="116"/>
    </row>
    <row r="2063" spans="27:35" ht="18">
      <c r="AA2063" s="116"/>
      <c r="AB2063" s="87"/>
      <c r="AC2063" s="116"/>
      <c r="AD2063" s="116"/>
      <c r="AE2063" s="116"/>
      <c r="AF2063" s="116"/>
      <c r="AG2063" s="116"/>
      <c r="AH2063" s="116"/>
      <c r="AI2063" s="116"/>
    </row>
    <row r="2064" spans="27:35" ht="18">
      <c r="AA2064" s="116"/>
      <c r="AB2064" s="87"/>
      <c r="AC2064" s="116"/>
      <c r="AD2064" s="116"/>
      <c r="AE2064" s="116"/>
      <c r="AF2064" s="116"/>
      <c r="AG2064" s="116"/>
      <c r="AH2064" s="116"/>
      <c r="AI2064" s="116"/>
    </row>
    <row r="2065" spans="27:35" ht="18">
      <c r="AA2065" s="116"/>
      <c r="AB2065" s="87"/>
      <c r="AC2065" s="116"/>
      <c r="AD2065" s="116"/>
      <c r="AE2065" s="116"/>
      <c r="AF2065" s="116"/>
      <c r="AG2065" s="116"/>
      <c r="AH2065" s="116"/>
      <c r="AI2065" s="116"/>
    </row>
    <row r="2066" spans="27:35" ht="18">
      <c r="AA2066" s="116"/>
      <c r="AB2066" s="87"/>
      <c r="AC2066" s="116"/>
      <c r="AD2066" s="116"/>
      <c r="AE2066" s="116"/>
      <c r="AF2066" s="116"/>
      <c r="AG2066" s="116"/>
      <c r="AH2066" s="116"/>
      <c r="AI2066" s="116"/>
    </row>
    <row r="2067" spans="27:35" ht="18">
      <c r="AA2067" s="116"/>
      <c r="AB2067" s="87"/>
      <c r="AC2067" s="116"/>
      <c r="AD2067" s="116"/>
      <c r="AE2067" s="116"/>
      <c r="AF2067" s="116"/>
      <c r="AG2067" s="116"/>
      <c r="AH2067" s="116"/>
      <c r="AI2067" s="116"/>
    </row>
    <row r="2068" spans="27:35" ht="18">
      <c r="AA2068" s="116"/>
      <c r="AB2068" s="184"/>
      <c r="AC2068" s="116"/>
      <c r="AD2068" s="116"/>
      <c r="AE2068" s="116"/>
      <c r="AF2068" s="116"/>
      <c r="AG2068" s="116"/>
      <c r="AH2068" s="116"/>
      <c r="AI2068" s="116"/>
    </row>
    <row r="2069" spans="27:35" ht="18">
      <c r="AA2069" s="116"/>
      <c r="AB2069" s="184"/>
      <c r="AC2069" s="116"/>
      <c r="AD2069" s="116"/>
      <c r="AE2069" s="116"/>
      <c r="AF2069" s="116"/>
      <c r="AG2069" s="116"/>
      <c r="AH2069" s="116"/>
      <c r="AI2069" s="116"/>
    </row>
    <row r="2070" spans="27:35" ht="18">
      <c r="AA2070" s="116"/>
      <c r="AB2070" s="87"/>
      <c r="AC2070" s="116"/>
      <c r="AD2070" s="116"/>
      <c r="AE2070" s="116"/>
      <c r="AF2070" s="116"/>
      <c r="AG2070" s="116"/>
      <c r="AH2070" s="116"/>
      <c r="AI2070" s="116"/>
    </row>
    <row r="2071" spans="27:35" ht="18">
      <c r="AA2071" s="116"/>
      <c r="AB2071" s="87"/>
      <c r="AC2071" s="116"/>
      <c r="AD2071" s="116"/>
      <c r="AE2071" s="116"/>
      <c r="AF2071" s="116"/>
      <c r="AG2071" s="116"/>
      <c r="AH2071" s="116"/>
      <c r="AI2071" s="116"/>
    </row>
    <row r="2072" spans="27:35" ht="18">
      <c r="AA2072" s="116"/>
      <c r="AB2072" s="87"/>
      <c r="AC2072" s="116"/>
      <c r="AD2072" s="116"/>
      <c r="AE2072" s="116"/>
      <c r="AF2072" s="116"/>
      <c r="AG2072" s="116"/>
      <c r="AH2072" s="116"/>
      <c r="AI2072" s="116"/>
    </row>
    <row r="2073" spans="27:35" ht="18">
      <c r="AA2073" s="116"/>
      <c r="AB2073" s="87"/>
      <c r="AC2073" s="116"/>
      <c r="AD2073" s="116"/>
      <c r="AE2073" s="116"/>
      <c r="AF2073" s="116"/>
      <c r="AG2073" s="116"/>
      <c r="AH2073" s="116"/>
      <c r="AI2073" s="116"/>
    </row>
    <row r="2074" spans="27:35" ht="18">
      <c r="AA2074" s="116"/>
      <c r="AB2074" s="184"/>
      <c r="AC2074" s="116"/>
      <c r="AD2074" s="116"/>
      <c r="AE2074" s="116"/>
      <c r="AF2074" s="116"/>
      <c r="AG2074" s="116"/>
      <c r="AH2074" s="116"/>
      <c r="AI2074" s="116"/>
    </row>
    <row r="2075" spans="27:35" ht="18">
      <c r="AA2075" s="116"/>
      <c r="AB2075" s="184"/>
      <c r="AC2075" s="116"/>
      <c r="AD2075" s="116"/>
      <c r="AE2075" s="116"/>
      <c r="AF2075" s="116"/>
      <c r="AG2075" s="116"/>
      <c r="AH2075" s="116"/>
      <c r="AI2075" s="116"/>
    </row>
    <row r="2076" spans="27:35" ht="18">
      <c r="AA2076" s="116"/>
      <c r="AB2076" s="87"/>
      <c r="AC2076" s="116"/>
      <c r="AD2076" s="116"/>
      <c r="AE2076" s="116"/>
      <c r="AF2076" s="116"/>
      <c r="AG2076" s="116"/>
      <c r="AH2076" s="116"/>
      <c r="AI2076" s="116"/>
    </row>
    <row r="2077" spans="27:35" ht="18">
      <c r="AA2077" s="116"/>
      <c r="AB2077" s="87"/>
      <c r="AC2077" s="116"/>
      <c r="AD2077" s="116"/>
      <c r="AE2077" s="116"/>
      <c r="AF2077" s="116"/>
      <c r="AG2077" s="116"/>
      <c r="AH2077" s="116"/>
      <c r="AI2077" s="116"/>
    </row>
    <row r="2078" spans="27:35" ht="18">
      <c r="AA2078" s="116"/>
      <c r="AB2078" s="87"/>
      <c r="AC2078" s="116"/>
      <c r="AD2078" s="116"/>
      <c r="AE2078" s="116"/>
      <c r="AF2078" s="116"/>
      <c r="AG2078" s="116"/>
      <c r="AH2078" s="116"/>
      <c r="AI2078" s="116"/>
    </row>
    <row r="2079" spans="27:35" ht="18">
      <c r="AA2079" s="116"/>
      <c r="AB2079" s="87"/>
      <c r="AC2079" s="116"/>
      <c r="AD2079" s="116"/>
      <c r="AE2079" s="116"/>
      <c r="AF2079" s="116"/>
      <c r="AG2079" s="116"/>
      <c r="AH2079" s="116"/>
      <c r="AI2079" s="116"/>
    </row>
    <row r="2080" spans="27:35" ht="18">
      <c r="AA2080" s="116"/>
      <c r="AB2080" s="184"/>
      <c r="AC2080" s="116"/>
      <c r="AD2080" s="116"/>
      <c r="AE2080" s="116"/>
      <c r="AF2080" s="116"/>
      <c r="AG2080" s="116"/>
      <c r="AH2080" s="116"/>
      <c r="AI2080" s="116"/>
    </row>
    <row r="2081" spans="27:35" ht="18">
      <c r="AA2081" s="116"/>
      <c r="AB2081" s="184"/>
      <c r="AC2081" s="116"/>
      <c r="AD2081" s="116"/>
      <c r="AE2081" s="116"/>
      <c r="AF2081" s="116"/>
      <c r="AG2081" s="116"/>
      <c r="AH2081" s="116"/>
      <c r="AI2081" s="116"/>
    </row>
    <row r="2082" spans="27:35" ht="18">
      <c r="AA2082" s="116"/>
      <c r="AB2082" s="87"/>
      <c r="AC2082" s="116"/>
      <c r="AD2082" s="116"/>
      <c r="AE2082" s="116"/>
      <c r="AF2082" s="116"/>
      <c r="AG2082" s="116"/>
      <c r="AH2082" s="116"/>
      <c r="AI2082" s="116"/>
    </row>
    <row r="2083" spans="27:35" ht="18">
      <c r="AA2083" s="116"/>
      <c r="AB2083" s="87"/>
      <c r="AC2083" s="116"/>
      <c r="AD2083" s="116"/>
      <c r="AE2083" s="116"/>
      <c r="AF2083" s="116"/>
      <c r="AG2083" s="116"/>
      <c r="AH2083" s="116"/>
      <c r="AI2083" s="116"/>
    </row>
    <row r="2084" spans="27:35" ht="18">
      <c r="AA2084" s="116"/>
      <c r="AB2084" s="87"/>
      <c r="AC2084" s="116"/>
      <c r="AD2084" s="116"/>
      <c r="AE2084" s="116"/>
      <c r="AF2084" s="116"/>
      <c r="AG2084" s="116"/>
      <c r="AH2084" s="116"/>
      <c r="AI2084" s="116"/>
    </row>
    <row r="2085" spans="27:35" ht="18">
      <c r="AA2085" s="116"/>
      <c r="AB2085" s="87"/>
      <c r="AC2085" s="116"/>
      <c r="AD2085" s="116"/>
      <c r="AE2085" s="116"/>
      <c r="AF2085" s="116"/>
      <c r="AG2085" s="116"/>
      <c r="AH2085" s="116"/>
      <c r="AI2085" s="116"/>
    </row>
    <row r="2086" spans="27:35" ht="18">
      <c r="AA2086" s="116"/>
      <c r="AB2086" s="87"/>
      <c r="AC2086" s="116"/>
      <c r="AD2086" s="116"/>
      <c r="AE2086" s="116"/>
      <c r="AF2086" s="116"/>
      <c r="AG2086" s="116"/>
      <c r="AH2086" s="116"/>
      <c r="AI2086" s="116"/>
    </row>
    <row r="2087" spans="27:35" ht="18">
      <c r="AA2087" s="116"/>
      <c r="AB2087" s="87"/>
      <c r="AC2087" s="116"/>
      <c r="AD2087" s="116"/>
      <c r="AE2087" s="116"/>
      <c r="AF2087" s="116"/>
      <c r="AG2087" s="116"/>
      <c r="AH2087" s="116"/>
      <c r="AI2087" s="116"/>
    </row>
    <row r="2088" spans="27:35" ht="18">
      <c r="AA2088" s="116"/>
      <c r="AB2088" s="87"/>
      <c r="AC2088" s="116"/>
      <c r="AD2088" s="116"/>
      <c r="AE2088" s="116"/>
      <c r="AF2088" s="116"/>
      <c r="AG2088" s="116"/>
      <c r="AH2088" s="116"/>
      <c r="AI2088" s="116"/>
    </row>
    <row r="2089" spans="27:35" ht="18">
      <c r="AA2089" s="116"/>
      <c r="AB2089" s="87"/>
      <c r="AC2089" s="116"/>
      <c r="AD2089" s="116"/>
      <c r="AE2089" s="116"/>
      <c r="AF2089" s="116"/>
      <c r="AG2089" s="116"/>
      <c r="AH2089" s="116"/>
      <c r="AI2089" s="116"/>
    </row>
    <row r="2090" spans="27:35" ht="18">
      <c r="AA2090" s="116"/>
      <c r="AB2090" s="184"/>
      <c r="AC2090" s="116"/>
      <c r="AD2090" s="116"/>
      <c r="AE2090" s="116"/>
      <c r="AF2090" s="116"/>
      <c r="AG2090" s="116"/>
      <c r="AH2090" s="116"/>
      <c r="AI2090" s="116"/>
    </row>
    <row r="2091" spans="27:35" ht="18">
      <c r="AA2091" s="116"/>
      <c r="AB2091" s="184"/>
      <c r="AC2091" s="116"/>
      <c r="AD2091" s="116"/>
      <c r="AE2091" s="116"/>
      <c r="AF2091" s="116"/>
      <c r="AG2091" s="116"/>
      <c r="AH2091" s="116"/>
      <c r="AI2091" s="116"/>
    </row>
    <row r="2092" spans="27:35" ht="18">
      <c r="AA2092" s="116"/>
      <c r="AB2092" s="87"/>
      <c r="AC2092" s="116"/>
      <c r="AD2092" s="116"/>
      <c r="AE2092" s="116"/>
      <c r="AF2092" s="116"/>
      <c r="AG2092" s="116"/>
      <c r="AH2092" s="116"/>
      <c r="AI2092" s="116"/>
    </row>
    <row r="2093" spans="27:35" ht="18">
      <c r="AA2093" s="116"/>
      <c r="AB2093" s="87"/>
      <c r="AC2093" s="116"/>
      <c r="AD2093" s="116"/>
      <c r="AE2093" s="116"/>
      <c r="AF2093" s="116"/>
      <c r="AG2093" s="116"/>
      <c r="AH2093" s="116"/>
      <c r="AI2093" s="116"/>
    </row>
    <row r="2094" spans="27:35" ht="18">
      <c r="AA2094" s="116"/>
      <c r="AB2094" s="87"/>
      <c r="AC2094" s="116"/>
      <c r="AD2094" s="116"/>
      <c r="AE2094" s="116"/>
      <c r="AF2094" s="116"/>
      <c r="AG2094" s="116"/>
      <c r="AH2094" s="116"/>
      <c r="AI2094" s="116"/>
    </row>
    <row r="2095" spans="27:35" ht="18">
      <c r="AA2095" s="116"/>
      <c r="AB2095" s="87"/>
      <c r="AC2095" s="116"/>
      <c r="AD2095" s="116"/>
      <c r="AE2095" s="116"/>
      <c r="AF2095" s="116"/>
      <c r="AG2095" s="116"/>
      <c r="AH2095" s="116"/>
      <c r="AI2095" s="116"/>
    </row>
    <row r="2096" spans="27:35" ht="18">
      <c r="AA2096" s="116"/>
      <c r="AB2096" s="87"/>
      <c r="AC2096" s="116"/>
      <c r="AD2096" s="116"/>
      <c r="AE2096" s="116"/>
      <c r="AF2096" s="116"/>
      <c r="AG2096" s="116"/>
      <c r="AH2096" s="116"/>
      <c r="AI2096" s="116"/>
    </row>
    <row r="2097" spans="27:35" ht="18">
      <c r="AA2097" s="116"/>
      <c r="AB2097" s="87"/>
      <c r="AC2097" s="116"/>
      <c r="AD2097" s="116"/>
      <c r="AE2097" s="116"/>
      <c r="AF2097" s="116"/>
      <c r="AG2097" s="116"/>
      <c r="AH2097" s="116"/>
      <c r="AI2097" s="116"/>
    </row>
    <row r="2098" spans="27:35" ht="18">
      <c r="AA2098" s="116"/>
      <c r="AB2098" s="87"/>
      <c r="AC2098" s="116"/>
      <c r="AD2098" s="116"/>
      <c r="AE2098" s="116"/>
      <c r="AF2098" s="116"/>
      <c r="AG2098" s="116"/>
      <c r="AH2098" s="116"/>
      <c r="AI2098" s="116"/>
    </row>
    <row r="2099" spans="27:35" ht="18">
      <c r="AA2099" s="116"/>
      <c r="AB2099" s="87"/>
      <c r="AC2099" s="116"/>
      <c r="AD2099" s="116"/>
      <c r="AE2099" s="116"/>
      <c r="AF2099" s="116"/>
      <c r="AG2099" s="116"/>
      <c r="AH2099" s="116"/>
      <c r="AI2099" s="116"/>
    </row>
    <row r="2100" spans="27:35" ht="18">
      <c r="AA2100" s="116"/>
      <c r="AB2100" s="87"/>
      <c r="AC2100" s="116"/>
      <c r="AD2100" s="116"/>
      <c r="AE2100" s="116"/>
      <c r="AF2100" s="116"/>
      <c r="AG2100" s="116"/>
      <c r="AH2100" s="116"/>
      <c r="AI2100" s="116"/>
    </row>
    <row r="2101" spans="27:35" ht="18">
      <c r="AA2101" s="116"/>
      <c r="AB2101" s="87"/>
      <c r="AC2101" s="116"/>
      <c r="AD2101" s="116"/>
      <c r="AE2101" s="116"/>
      <c r="AF2101" s="116"/>
      <c r="AG2101" s="116"/>
      <c r="AH2101" s="116"/>
      <c r="AI2101" s="116"/>
    </row>
    <row r="2102" spans="27:35" ht="18">
      <c r="AA2102" s="116"/>
      <c r="AB2102" s="87"/>
      <c r="AC2102" s="116"/>
      <c r="AD2102" s="116"/>
      <c r="AE2102" s="116"/>
      <c r="AF2102" s="116"/>
      <c r="AG2102" s="116"/>
      <c r="AH2102" s="116"/>
      <c r="AI2102" s="116"/>
    </row>
    <row r="2103" spans="27:35" ht="18">
      <c r="AA2103" s="116"/>
      <c r="AB2103" s="87"/>
      <c r="AC2103" s="116"/>
      <c r="AD2103" s="116"/>
      <c r="AE2103" s="116"/>
      <c r="AF2103" s="116"/>
      <c r="AG2103" s="116"/>
      <c r="AH2103" s="116"/>
      <c r="AI2103" s="116"/>
    </row>
    <row r="2104" spans="27:35" ht="18">
      <c r="AA2104" s="116"/>
      <c r="AB2104" s="184"/>
      <c r="AC2104" s="116"/>
      <c r="AD2104" s="116"/>
      <c r="AE2104" s="116"/>
      <c r="AF2104" s="116"/>
      <c r="AG2104" s="116"/>
      <c r="AH2104" s="116"/>
      <c r="AI2104" s="116"/>
    </row>
    <row r="2105" spans="27:35" ht="18">
      <c r="AA2105" s="116"/>
      <c r="AB2105" s="87"/>
      <c r="AC2105" s="116"/>
      <c r="AD2105" s="116"/>
      <c r="AE2105" s="116"/>
      <c r="AF2105" s="116"/>
      <c r="AG2105" s="116"/>
      <c r="AH2105" s="116"/>
      <c r="AI2105" s="116"/>
    </row>
    <row r="2106" spans="27:35" ht="18">
      <c r="AA2106" s="116"/>
      <c r="AB2106" s="87"/>
      <c r="AC2106" s="116"/>
      <c r="AD2106" s="116"/>
      <c r="AE2106" s="116"/>
      <c r="AF2106" s="116"/>
      <c r="AG2106" s="116"/>
      <c r="AH2106" s="116"/>
      <c r="AI2106" s="116"/>
    </row>
    <row r="2107" spans="27:35" ht="18">
      <c r="AA2107" s="116"/>
      <c r="AB2107" s="87"/>
      <c r="AC2107" s="116"/>
      <c r="AD2107" s="116"/>
      <c r="AE2107" s="116"/>
      <c r="AF2107" s="116"/>
      <c r="AG2107" s="116"/>
      <c r="AH2107" s="116"/>
      <c r="AI2107" s="116"/>
    </row>
    <row r="2108" spans="27:35" ht="18">
      <c r="AA2108" s="116"/>
      <c r="AB2108" s="87"/>
      <c r="AC2108" s="116"/>
      <c r="AD2108" s="116"/>
      <c r="AE2108" s="116"/>
      <c r="AF2108" s="116"/>
      <c r="AG2108" s="116"/>
      <c r="AH2108" s="116"/>
      <c r="AI2108" s="116"/>
    </row>
    <row r="2109" spans="27:35" ht="18">
      <c r="AA2109" s="116"/>
      <c r="AB2109" s="87"/>
      <c r="AC2109" s="116"/>
      <c r="AD2109" s="116"/>
      <c r="AE2109" s="116"/>
      <c r="AF2109" s="116"/>
      <c r="AG2109" s="116"/>
      <c r="AH2109" s="116"/>
      <c r="AI2109" s="116"/>
    </row>
    <row r="2110" spans="27:35" ht="18">
      <c r="AA2110" s="116"/>
      <c r="AB2110" s="87"/>
      <c r="AC2110" s="116"/>
      <c r="AD2110" s="116"/>
      <c r="AE2110" s="116"/>
      <c r="AF2110" s="116"/>
      <c r="AG2110" s="116"/>
      <c r="AH2110" s="116"/>
      <c r="AI2110" s="116"/>
    </row>
    <row r="2111" spans="27:35" ht="18">
      <c r="AA2111" s="116"/>
      <c r="AB2111" s="87"/>
      <c r="AC2111" s="116"/>
      <c r="AD2111" s="116"/>
      <c r="AE2111" s="116"/>
      <c r="AF2111" s="116"/>
      <c r="AG2111" s="116"/>
      <c r="AH2111" s="116"/>
      <c r="AI2111" s="116"/>
    </row>
    <row r="2112" spans="27:35" ht="18">
      <c r="AA2112" s="116"/>
      <c r="AB2112" s="87"/>
      <c r="AC2112" s="116"/>
      <c r="AD2112" s="116"/>
      <c r="AE2112" s="116"/>
      <c r="AF2112" s="116"/>
      <c r="AG2112" s="116"/>
      <c r="AH2112" s="116"/>
      <c r="AI2112" s="116"/>
    </row>
    <row r="2113" spans="27:35" ht="18">
      <c r="AA2113" s="116"/>
      <c r="AB2113" s="87"/>
      <c r="AC2113" s="116"/>
      <c r="AD2113" s="116"/>
      <c r="AE2113" s="116"/>
      <c r="AF2113" s="116"/>
      <c r="AG2113" s="116"/>
      <c r="AH2113" s="116"/>
      <c r="AI2113" s="116"/>
    </row>
    <row r="2114" spans="27:35" ht="18">
      <c r="AA2114" s="116"/>
      <c r="AB2114" s="87"/>
      <c r="AC2114" s="116"/>
      <c r="AD2114" s="116"/>
      <c r="AE2114" s="116"/>
      <c r="AF2114" s="116"/>
      <c r="AG2114" s="116"/>
      <c r="AH2114" s="116"/>
      <c r="AI2114" s="116"/>
    </row>
    <row r="2115" spans="27:35" ht="18">
      <c r="AA2115" s="116"/>
      <c r="AB2115" s="87"/>
      <c r="AC2115" s="116"/>
      <c r="AD2115" s="116"/>
      <c r="AE2115" s="116"/>
      <c r="AF2115" s="116"/>
      <c r="AG2115" s="116"/>
      <c r="AH2115" s="116"/>
      <c r="AI2115" s="116"/>
    </row>
    <row r="2116" spans="27:35" ht="18">
      <c r="AA2116" s="116"/>
      <c r="AB2116" s="87"/>
      <c r="AC2116" s="116"/>
      <c r="AD2116" s="116"/>
      <c r="AE2116" s="116"/>
      <c r="AF2116" s="116"/>
      <c r="AG2116" s="116"/>
      <c r="AH2116" s="116"/>
      <c r="AI2116" s="116"/>
    </row>
    <row r="2117" spans="27:35" ht="18">
      <c r="AA2117" s="116"/>
      <c r="AB2117" s="87"/>
      <c r="AC2117" s="116"/>
      <c r="AD2117" s="116"/>
      <c r="AE2117" s="116"/>
      <c r="AF2117" s="116"/>
      <c r="AG2117" s="116"/>
      <c r="AH2117" s="116"/>
      <c r="AI2117" s="116"/>
    </row>
    <row r="2118" spans="27:35" ht="18">
      <c r="AA2118" s="116"/>
      <c r="AB2118" s="87"/>
      <c r="AC2118" s="116"/>
      <c r="AD2118" s="116"/>
      <c r="AE2118" s="116"/>
      <c r="AF2118" s="116"/>
      <c r="AG2118" s="116"/>
      <c r="AH2118" s="116"/>
      <c r="AI2118" s="116"/>
    </row>
    <row r="2119" spans="27:35" ht="18">
      <c r="AA2119" s="116"/>
      <c r="AB2119" s="87"/>
      <c r="AC2119" s="116"/>
      <c r="AD2119" s="116"/>
      <c r="AE2119" s="116"/>
      <c r="AF2119" s="116"/>
      <c r="AG2119" s="116"/>
      <c r="AH2119" s="116"/>
      <c r="AI2119" s="116"/>
    </row>
    <row r="2120" spans="27:35" ht="18">
      <c r="AA2120" s="116"/>
      <c r="AB2120" s="184"/>
      <c r="AC2120" s="116"/>
      <c r="AD2120" s="116"/>
      <c r="AE2120" s="116"/>
      <c r="AF2120" s="116"/>
      <c r="AG2120" s="116"/>
      <c r="AH2120" s="116"/>
      <c r="AI2120" s="116"/>
    </row>
    <row r="2121" spans="27:35" ht="18">
      <c r="AA2121" s="116"/>
      <c r="AB2121" s="87"/>
      <c r="AC2121" s="116"/>
      <c r="AD2121" s="116"/>
      <c r="AE2121" s="116"/>
      <c r="AF2121" s="116"/>
      <c r="AG2121" s="116"/>
      <c r="AH2121" s="116"/>
      <c r="AI2121" s="116"/>
    </row>
    <row r="2122" spans="27:35" ht="18">
      <c r="AA2122" s="116"/>
      <c r="AB2122" s="87"/>
      <c r="AC2122" s="116"/>
      <c r="AD2122" s="116"/>
      <c r="AE2122" s="116"/>
      <c r="AF2122" s="116"/>
      <c r="AG2122" s="116"/>
      <c r="AH2122" s="116"/>
      <c r="AI2122" s="116"/>
    </row>
    <row r="2123" spans="27:35" ht="18">
      <c r="AA2123" s="116"/>
      <c r="AB2123" s="87"/>
      <c r="AC2123" s="116"/>
      <c r="AD2123" s="116"/>
      <c r="AE2123" s="116"/>
      <c r="AF2123" s="116"/>
      <c r="AG2123" s="116"/>
      <c r="AH2123" s="116"/>
      <c r="AI2123" s="116"/>
    </row>
    <row r="2124" spans="27:35" ht="18">
      <c r="AA2124" s="116"/>
      <c r="AB2124" s="87"/>
      <c r="AC2124" s="116"/>
      <c r="AD2124" s="116"/>
      <c r="AE2124" s="116"/>
      <c r="AF2124" s="116"/>
      <c r="AG2124" s="116"/>
      <c r="AH2124" s="116"/>
      <c r="AI2124" s="116"/>
    </row>
    <row r="2125" spans="27:35" ht="18">
      <c r="AA2125" s="116"/>
      <c r="AB2125" s="87"/>
      <c r="AC2125" s="116"/>
      <c r="AD2125" s="116"/>
      <c r="AE2125" s="116"/>
      <c r="AF2125" s="116"/>
      <c r="AG2125" s="116"/>
      <c r="AH2125" s="116"/>
      <c r="AI2125" s="116"/>
    </row>
    <row r="2126" spans="27:35" ht="18">
      <c r="AA2126" s="116"/>
      <c r="AB2126" s="87"/>
      <c r="AC2126" s="116"/>
      <c r="AD2126" s="116"/>
      <c r="AE2126" s="116"/>
      <c r="AF2126" s="116"/>
      <c r="AG2126" s="116"/>
      <c r="AH2126" s="116"/>
      <c r="AI2126" s="116"/>
    </row>
    <row r="2127" spans="27:35" ht="18">
      <c r="AA2127" s="116"/>
      <c r="AB2127" s="87"/>
      <c r="AC2127" s="116"/>
      <c r="AD2127" s="116"/>
      <c r="AE2127" s="116"/>
      <c r="AF2127" s="116"/>
      <c r="AG2127" s="116"/>
      <c r="AH2127" s="116"/>
      <c r="AI2127" s="116"/>
    </row>
    <row r="2128" spans="27:35" ht="18">
      <c r="AA2128" s="116"/>
      <c r="AB2128" s="184"/>
      <c r="AC2128" s="116"/>
      <c r="AD2128" s="116"/>
      <c r="AE2128" s="116"/>
      <c r="AF2128" s="116"/>
      <c r="AG2128" s="116"/>
      <c r="AH2128" s="116"/>
      <c r="AI2128" s="116"/>
    </row>
    <row r="2129" spans="27:35" ht="18">
      <c r="AA2129" s="116"/>
      <c r="AB2129" s="184"/>
      <c r="AC2129" s="116"/>
      <c r="AD2129" s="116"/>
      <c r="AE2129" s="116"/>
      <c r="AF2129" s="116"/>
      <c r="AG2129" s="116"/>
      <c r="AH2129" s="116"/>
      <c r="AI2129" s="116"/>
    </row>
    <row r="2130" spans="27:35" ht="18">
      <c r="AA2130" s="116"/>
      <c r="AB2130" s="87"/>
      <c r="AC2130" s="116"/>
      <c r="AD2130" s="116"/>
      <c r="AE2130" s="116"/>
      <c r="AF2130" s="116"/>
      <c r="AG2130" s="116"/>
      <c r="AH2130" s="116"/>
      <c r="AI2130" s="116"/>
    </row>
    <row r="2131" spans="27:35" ht="18">
      <c r="AA2131" s="116"/>
      <c r="AB2131" s="87"/>
      <c r="AC2131" s="116"/>
      <c r="AD2131" s="116"/>
      <c r="AE2131" s="116"/>
      <c r="AF2131" s="116"/>
      <c r="AG2131" s="116"/>
      <c r="AH2131" s="116"/>
      <c r="AI2131" s="116"/>
    </row>
    <row r="2132" spans="27:35" ht="18">
      <c r="AA2132" s="116"/>
      <c r="AB2132" s="87"/>
      <c r="AC2132" s="116"/>
      <c r="AD2132" s="116"/>
      <c r="AE2132" s="116"/>
      <c r="AF2132" s="116"/>
      <c r="AG2132" s="116"/>
      <c r="AH2132" s="116"/>
      <c r="AI2132" s="116"/>
    </row>
    <row r="2133" spans="27:35" ht="18">
      <c r="AA2133" s="116"/>
      <c r="AB2133" s="87"/>
      <c r="AC2133" s="116"/>
      <c r="AD2133" s="116"/>
      <c r="AE2133" s="116"/>
      <c r="AF2133" s="116"/>
      <c r="AG2133" s="116"/>
      <c r="AH2133" s="116"/>
      <c r="AI2133" s="116"/>
    </row>
    <row r="2134" spans="27:35" ht="18">
      <c r="AA2134" s="116"/>
      <c r="AB2134" s="87"/>
      <c r="AC2134" s="116"/>
      <c r="AD2134" s="116"/>
      <c r="AE2134" s="116"/>
      <c r="AF2134" s="116"/>
      <c r="AG2134" s="116"/>
      <c r="AH2134" s="116"/>
      <c r="AI2134" s="116"/>
    </row>
    <row r="2135" spans="27:35" ht="18">
      <c r="AA2135" s="116"/>
      <c r="AB2135" s="87"/>
      <c r="AC2135" s="116"/>
      <c r="AD2135" s="116"/>
      <c r="AE2135" s="116"/>
      <c r="AF2135" s="116"/>
      <c r="AG2135" s="116"/>
      <c r="AH2135" s="116"/>
      <c r="AI2135" s="116"/>
    </row>
    <row r="2136" spans="27:35" ht="18">
      <c r="AA2136" s="116"/>
      <c r="AB2136" s="87"/>
      <c r="AC2136" s="116"/>
      <c r="AD2136" s="116"/>
      <c r="AE2136" s="116"/>
      <c r="AF2136" s="116"/>
      <c r="AG2136" s="116"/>
      <c r="AH2136" s="116"/>
      <c r="AI2136" s="116"/>
    </row>
    <row r="2137" spans="27:35" ht="18">
      <c r="AA2137" s="116"/>
      <c r="AB2137" s="87"/>
      <c r="AC2137" s="116"/>
      <c r="AD2137" s="116"/>
      <c r="AE2137" s="116"/>
      <c r="AF2137" s="116"/>
      <c r="AG2137" s="116"/>
      <c r="AH2137" s="116"/>
      <c r="AI2137" s="116"/>
    </row>
    <row r="2138" spans="27:35" ht="18">
      <c r="AA2138" s="116"/>
      <c r="AB2138" s="87"/>
      <c r="AC2138" s="116"/>
      <c r="AD2138" s="116"/>
      <c r="AE2138" s="116"/>
      <c r="AF2138" s="116"/>
      <c r="AG2138" s="116"/>
      <c r="AH2138" s="116"/>
      <c r="AI2138" s="116"/>
    </row>
    <row r="2139" spans="27:35" ht="18">
      <c r="AA2139" s="116"/>
      <c r="AB2139" s="184"/>
      <c r="AC2139" s="116"/>
      <c r="AD2139" s="116"/>
      <c r="AE2139" s="116"/>
      <c r="AF2139" s="116"/>
      <c r="AG2139" s="116"/>
      <c r="AH2139" s="116"/>
      <c r="AI2139" s="116"/>
    </row>
    <row r="2140" spans="27:35" ht="18">
      <c r="AA2140" s="116"/>
      <c r="AB2140" s="184"/>
      <c r="AC2140" s="116"/>
      <c r="AD2140" s="116"/>
      <c r="AE2140" s="116"/>
      <c r="AF2140" s="116"/>
      <c r="AG2140" s="116"/>
      <c r="AH2140" s="116"/>
      <c r="AI2140" s="116"/>
    </row>
    <row r="2141" spans="27:35" ht="18">
      <c r="AA2141" s="116"/>
      <c r="AB2141" s="87"/>
      <c r="AC2141" s="116"/>
      <c r="AD2141" s="116"/>
      <c r="AE2141" s="116"/>
      <c r="AF2141" s="116"/>
      <c r="AG2141" s="116"/>
      <c r="AH2141" s="116"/>
      <c r="AI2141" s="116"/>
    </row>
    <row r="2142" spans="27:35" ht="18">
      <c r="AA2142" s="116"/>
      <c r="AB2142" s="87"/>
      <c r="AC2142" s="116"/>
      <c r="AD2142" s="116"/>
      <c r="AE2142" s="116"/>
      <c r="AF2142" s="116"/>
      <c r="AG2142" s="116"/>
      <c r="AH2142" s="116"/>
      <c r="AI2142" s="116"/>
    </row>
    <row r="2143" spans="27:35" ht="18">
      <c r="AA2143" s="116"/>
      <c r="AB2143" s="87"/>
      <c r="AC2143" s="116"/>
      <c r="AD2143" s="116"/>
      <c r="AE2143" s="116"/>
      <c r="AF2143" s="116"/>
      <c r="AG2143" s="116"/>
      <c r="AH2143" s="116"/>
      <c r="AI2143" s="116"/>
    </row>
    <row r="2144" spans="27:35" ht="18">
      <c r="AA2144" s="116"/>
      <c r="AB2144" s="184"/>
      <c r="AC2144" s="116"/>
      <c r="AD2144" s="116"/>
      <c r="AE2144" s="116"/>
      <c r="AF2144" s="116"/>
      <c r="AG2144" s="116"/>
      <c r="AH2144" s="116"/>
      <c r="AI2144" s="116"/>
    </row>
    <row r="2145" spans="27:35" ht="18">
      <c r="AA2145" s="116"/>
      <c r="AB2145" s="87"/>
      <c r="AC2145" s="116"/>
      <c r="AD2145" s="116"/>
      <c r="AE2145" s="116"/>
      <c r="AF2145" s="116"/>
      <c r="AG2145" s="116"/>
      <c r="AH2145" s="116"/>
      <c r="AI2145" s="116"/>
    </row>
    <row r="2146" spans="27:35" ht="18">
      <c r="AA2146" s="116"/>
      <c r="AB2146" s="87"/>
      <c r="AC2146" s="116"/>
      <c r="AD2146" s="116"/>
      <c r="AE2146" s="116"/>
      <c r="AF2146" s="116"/>
      <c r="AG2146" s="116"/>
      <c r="AH2146" s="116"/>
      <c r="AI2146" s="116"/>
    </row>
    <row r="2147" spans="27:35" ht="18">
      <c r="AA2147" s="116"/>
      <c r="AB2147" s="87"/>
      <c r="AC2147" s="116"/>
      <c r="AD2147" s="116"/>
      <c r="AE2147" s="116"/>
      <c r="AF2147" s="116"/>
      <c r="AG2147" s="116"/>
      <c r="AH2147" s="116"/>
      <c r="AI2147" s="116"/>
    </row>
    <row r="2148" spans="27:35" ht="18">
      <c r="AA2148" s="116"/>
      <c r="AB2148" s="87"/>
      <c r="AC2148" s="116"/>
      <c r="AD2148" s="116"/>
      <c r="AE2148" s="116"/>
      <c r="AF2148" s="116"/>
      <c r="AG2148" s="116"/>
      <c r="AH2148" s="116"/>
      <c r="AI2148" s="116"/>
    </row>
    <row r="2149" spans="27:35" ht="18">
      <c r="AA2149" s="116"/>
      <c r="AB2149" s="87"/>
      <c r="AC2149" s="116"/>
      <c r="AD2149" s="116"/>
      <c r="AE2149" s="116"/>
      <c r="AF2149" s="116"/>
      <c r="AG2149" s="116"/>
      <c r="AH2149" s="116"/>
      <c r="AI2149" s="116"/>
    </row>
    <row r="2150" spans="27:35" ht="18">
      <c r="AA2150" s="116"/>
      <c r="AB2150" s="87"/>
      <c r="AC2150" s="116"/>
      <c r="AD2150" s="116"/>
      <c r="AE2150" s="116"/>
      <c r="AF2150" s="116"/>
      <c r="AG2150" s="116"/>
      <c r="AH2150" s="116"/>
      <c r="AI2150" s="116"/>
    </row>
    <row r="2151" spans="27:35" ht="18">
      <c r="AA2151" s="116"/>
      <c r="AB2151" s="87"/>
      <c r="AC2151" s="116"/>
      <c r="AD2151" s="116"/>
      <c r="AE2151" s="116"/>
      <c r="AF2151" s="116"/>
      <c r="AG2151" s="116"/>
      <c r="AH2151" s="116"/>
      <c r="AI2151" s="116"/>
    </row>
    <row r="2152" spans="27:35" ht="18">
      <c r="AA2152" s="116"/>
      <c r="AB2152" s="87"/>
      <c r="AC2152" s="116"/>
      <c r="AD2152" s="116"/>
      <c r="AE2152" s="116"/>
      <c r="AF2152" s="116"/>
      <c r="AG2152" s="116"/>
      <c r="AH2152" s="116"/>
      <c r="AI2152" s="116"/>
    </row>
    <row r="2153" spans="27:35" ht="18">
      <c r="AA2153" s="116"/>
      <c r="AB2153" s="87"/>
      <c r="AC2153" s="116"/>
      <c r="AD2153" s="116"/>
      <c r="AE2153" s="116"/>
      <c r="AF2153" s="116"/>
      <c r="AG2153" s="116"/>
      <c r="AH2153" s="116"/>
      <c r="AI2153" s="116"/>
    </row>
    <row r="2154" spans="27:35" ht="18">
      <c r="AA2154" s="116"/>
      <c r="AB2154" s="87"/>
      <c r="AC2154" s="116"/>
      <c r="AD2154" s="116"/>
      <c r="AE2154" s="116"/>
      <c r="AF2154" s="116"/>
      <c r="AG2154" s="116"/>
      <c r="AH2154" s="116"/>
      <c r="AI2154" s="116"/>
    </row>
    <row r="2155" spans="27:35" ht="18">
      <c r="AA2155" s="116"/>
      <c r="AB2155" s="87"/>
      <c r="AC2155" s="116"/>
      <c r="AD2155" s="116"/>
      <c r="AE2155" s="116"/>
      <c r="AF2155" s="116"/>
      <c r="AG2155" s="116"/>
      <c r="AH2155" s="116"/>
      <c r="AI2155" s="116"/>
    </row>
    <row r="2156" spans="27:35" ht="18">
      <c r="AA2156" s="116"/>
      <c r="AB2156" s="87"/>
      <c r="AC2156" s="116"/>
      <c r="AD2156" s="116"/>
      <c r="AE2156" s="116"/>
      <c r="AF2156" s="116"/>
      <c r="AG2156" s="116"/>
      <c r="AH2156" s="116"/>
      <c r="AI2156" s="116"/>
    </row>
    <row r="2157" spans="27:35" ht="18">
      <c r="AA2157" s="116"/>
      <c r="AB2157" s="87"/>
      <c r="AC2157" s="116"/>
      <c r="AD2157" s="116"/>
      <c r="AE2157" s="116"/>
      <c r="AF2157" s="116"/>
      <c r="AG2157" s="116"/>
      <c r="AH2157" s="116"/>
      <c r="AI2157" s="116"/>
    </row>
    <row r="2158" spans="27:35" ht="18">
      <c r="AA2158" s="116"/>
      <c r="AB2158" s="87"/>
      <c r="AC2158" s="116"/>
      <c r="AD2158" s="116"/>
      <c r="AE2158" s="116"/>
      <c r="AF2158" s="116"/>
      <c r="AG2158" s="116"/>
      <c r="AH2158" s="116"/>
      <c r="AI2158" s="116"/>
    </row>
    <row r="2159" spans="27:35" ht="18">
      <c r="AA2159" s="116"/>
      <c r="AB2159" s="87"/>
      <c r="AC2159" s="116"/>
      <c r="AD2159" s="116"/>
      <c r="AE2159" s="116"/>
      <c r="AF2159" s="116"/>
      <c r="AG2159" s="116"/>
      <c r="AH2159" s="116"/>
      <c r="AI2159" s="116"/>
    </row>
    <row r="2160" spans="27:35" ht="18">
      <c r="AA2160" s="116"/>
      <c r="AB2160" s="87"/>
      <c r="AC2160" s="116"/>
      <c r="AD2160" s="116"/>
      <c r="AE2160" s="116"/>
      <c r="AF2160" s="116"/>
      <c r="AG2160" s="116"/>
      <c r="AH2160" s="116"/>
      <c r="AI2160" s="116"/>
    </row>
    <row r="2161" spans="27:35" ht="18">
      <c r="AA2161" s="116"/>
      <c r="AB2161" s="87"/>
      <c r="AC2161" s="116"/>
      <c r="AD2161" s="116"/>
      <c r="AE2161" s="116"/>
      <c r="AF2161" s="116"/>
      <c r="AG2161" s="116"/>
      <c r="AH2161" s="116"/>
      <c r="AI2161" s="116"/>
    </row>
    <row r="2162" spans="27:35" ht="18">
      <c r="AA2162" s="116"/>
      <c r="AB2162" s="87"/>
      <c r="AC2162" s="116"/>
      <c r="AD2162" s="116"/>
      <c r="AE2162" s="116"/>
      <c r="AF2162" s="116"/>
      <c r="AG2162" s="116"/>
      <c r="AH2162" s="116"/>
      <c r="AI2162" s="116"/>
    </row>
    <row r="2163" spans="27:35" ht="18">
      <c r="AA2163" s="116"/>
      <c r="AB2163" s="87"/>
      <c r="AC2163" s="116"/>
      <c r="AD2163" s="116"/>
      <c r="AE2163" s="116"/>
      <c r="AF2163" s="116"/>
      <c r="AG2163" s="116"/>
      <c r="AH2163" s="116"/>
      <c r="AI2163" s="116"/>
    </row>
    <row r="2164" spans="27:35" ht="18">
      <c r="AA2164" s="116"/>
      <c r="AB2164" s="184"/>
      <c r="AC2164" s="116"/>
      <c r="AD2164" s="116"/>
      <c r="AE2164" s="116"/>
      <c r="AF2164" s="116"/>
      <c r="AG2164" s="116"/>
      <c r="AH2164" s="116"/>
      <c r="AI2164" s="116"/>
    </row>
    <row r="2165" spans="27:35" ht="18">
      <c r="AA2165" s="116"/>
      <c r="AB2165" s="184"/>
      <c r="AC2165" s="116"/>
      <c r="AD2165" s="116"/>
      <c r="AE2165" s="116"/>
      <c r="AF2165" s="116"/>
      <c r="AG2165" s="116"/>
      <c r="AH2165" s="116"/>
      <c r="AI2165" s="116"/>
    </row>
    <row r="2166" spans="27:35" ht="18">
      <c r="AA2166" s="116"/>
      <c r="AB2166" s="87"/>
      <c r="AC2166" s="116"/>
      <c r="AD2166" s="116"/>
      <c r="AE2166" s="116"/>
      <c r="AF2166" s="116"/>
      <c r="AG2166" s="116"/>
      <c r="AH2166" s="116"/>
      <c r="AI2166" s="116"/>
    </row>
    <row r="2167" spans="27:35" ht="18">
      <c r="AA2167" s="116"/>
      <c r="AB2167" s="87"/>
      <c r="AC2167" s="116"/>
      <c r="AD2167" s="116"/>
      <c r="AE2167" s="116"/>
      <c r="AF2167" s="116"/>
      <c r="AG2167" s="116"/>
      <c r="AH2167" s="116"/>
      <c r="AI2167" s="116"/>
    </row>
    <row r="2168" spans="27:35" ht="18">
      <c r="AA2168" s="116"/>
      <c r="AB2168" s="87"/>
      <c r="AC2168" s="116"/>
      <c r="AD2168" s="116"/>
      <c r="AE2168" s="116"/>
      <c r="AF2168" s="116"/>
      <c r="AG2168" s="116"/>
      <c r="AH2168" s="116"/>
      <c r="AI2168" s="116"/>
    </row>
    <row r="2169" spans="27:35" ht="18">
      <c r="AA2169" s="116"/>
      <c r="AB2169" s="184"/>
      <c r="AC2169" s="116"/>
      <c r="AD2169" s="116"/>
      <c r="AE2169" s="116"/>
      <c r="AF2169" s="116"/>
      <c r="AG2169" s="116"/>
      <c r="AH2169" s="116"/>
      <c r="AI2169" s="116"/>
    </row>
    <row r="2170" spans="27:35" ht="18">
      <c r="AA2170" s="116"/>
      <c r="AB2170" s="87"/>
      <c r="AC2170" s="116"/>
      <c r="AD2170" s="116"/>
      <c r="AE2170" s="116"/>
      <c r="AF2170" s="116"/>
      <c r="AG2170" s="116"/>
      <c r="AH2170" s="116"/>
      <c r="AI2170" s="116"/>
    </row>
    <row r="2171" spans="27:35" ht="18">
      <c r="AA2171" s="116"/>
      <c r="AB2171" s="87"/>
      <c r="AC2171" s="116"/>
      <c r="AD2171" s="116"/>
      <c r="AE2171" s="116"/>
      <c r="AF2171" s="116"/>
      <c r="AG2171" s="116"/>
      <c r="AH2171" s="116"/>
      <c r="AI2171" s="116"/>
    </row>
    <row r="2172" spans="27:35" ht="18">
      <c r="AA2172" s="116"/>
      <c r="AB2172" s="87"/>
      <c r="AC2172" s="116"/>
      <c r="AD2172" s="116"/>
      <c r="AE2172" s="116"/>
      <c r="AF2172" s="116"/>
      <c r="AG2172" s="116"/>
      <c r="AH2172" s="116"/>
      <c r="AI2172" s="116"/>
    </row>
    <row r="2173" spans="27:35" ht="18">
      <c r="AA2173" s="116"/>
      <c r="AB2173" s="87"/>
      <c r="AC2173" s="116"/>
      <c r="AD2173" s="116"/>
      <c r="AE2173" s="116"/>
      <c r="AF2173" s="116"/>
      <c r="AG2173" s="116"/>
      <c r="AH2173" s="116"/>
      <c r="AI2173" s="116"/>
    </row>
    <row r="2174" spans="27:35" ht="18">
      <c r="AA2174" s="116"/>
      <c r="AB2174" s="87"/>
      <c r="AC2174" s="116"/>
      <c r="AD2174" s="116"/>
      <c r="AE2174" s="116"/>
      <c r="AF2174" s="116"/>
      <c r="AG2174" s="116"/>
      <c r="AH2174" s="116"/>
      <c r="AI2174" s="116"/>
    </row>
    <row r="2175" spans="27:35" ht="18">
      <c r="AA2175" s="116"/>
      <c r="AB2175" s="184"/>
      <c r="AC2175" s="116"/>
      <c r="AD2175" s="116"/>
      <c r="AE2175" s="116"/>
      <c r="AF2175" s="116"/>
      <c r="AG2175" s="116"/>
      <c r="AH2175" s="116"/>
      <c r="AI2175" s="116"/>
    </row>
    <row r="2176" spans="27:35" ht="18">
      <c r="AA2176" s="116"/>
      <c r="AB2176" s="184"/>
      <c r="AC2176" s="116"/>
      <c r="AD2176" s="116"/>
      <c r="AE2176" s="116"/>
      <c r="AF2176" s="116"/>
      <c r="AG2176" s="116"/>
      <c r="AH2176" s="116"/>
      <c r="AI2176" s="116"/>
    </row>
    <row r="2177" spans="27:35" ht="18">
      <c r="AA2177" s="116"/>
      <c r="AB2177" s="87"/>
      <c r="AC2177" s="116"/>
      <c r="AD2177" s="116"/>
      <c r="AE2177" s="116"/>
      <c r="AF2177" s="116"/>
      <c r="AG2177" s="116"/>
      <c r="AH2177" s="116"/>
      <c r="AI2177" s="116"/>
    </row>
    <row r="2178" spans="27:35" ht="18">
      <c r="AA2178" s="116"/>
      <c r="AB2178" s="87"/>
      <c r="AC2178" s="116"/>
      <c r="AD2178" s="116"/>
      <c r="AE2178" s="116"/>
      <c r="AF2178" s="116"/>
      <c r="AG2178" s="116"/>
      <c r="AH2178" s="116"/>
      <c r="AI2178" s="116"/>
    </row>
    <row r="2179" spans="27:35" ht="18">
      <c r="AA2179" s="116"/>
      <c r="AB2179" s="87"/>
      <c r="AC2179" s="116"/>
      <c r="AD2179" s="116"/>
      <c r="AE2179" s="116"/>
      <c r="AF2179" s="116"/>
      <c r="AG2179" s="116"/>
      <c r="AH2179" s="116"/>
      <c r="AI2179" s="116"/>
    </row>
    <row r="2180" spans="27:35" ht="18">
      <c r="AA2180" s="116"/>
      <c r="AB2180" s="87"/>
      <c r="AC2180" s="116"/>
      <c r="AD2180" s="116"/>
      <c r="AE2180" s="116"/>
      <c r="AF2180" s="116"/>
      <c r="AG2180" s="116"/>
      <c r="AH2180" s="116"/>
      <c r="AI2180" s="116"/>
    </row>
    <row r="2181" spans="27:35" ht="18">
      <c r="AA2181" s="116"/>
      <c r="AB2181" s="87"/>
      <c r="AC2181" s="116"/>
      <c r="AD2181" s="116"/>
      <c r="AE2181" s="116"/>
      <c r="AF2181" s="116"/>
      <c r="AG2181" s="116"/>
      <c r="AH2181" s="116"/>
      <c r="AI2181" s="116"/>
    </row>
    <row r="2182" spans="27:35" ht="18">
      <c r="AA2182" s="116"/>
      <c r="AB2182" s="87"/>
      <c r="AC2182" s="116"/>
      <c r="AD2182" s="116"/>
      <c r="AE2182" s="116"/>
      <c r="AF2182" s="116"/>
      <c r="AG2182" s="116"/>
      <c r="AH2182" s="116"/>
      <c r="AI2182" s="116"/>
    </row>
    <row r="2183" spans="27:35" ht="18">
      <c r="AA2183" s="116"/>
      <c r="AB2183" s="87"/>
      <c r="AC2183" s="116"/>
      <c r="AD2183" s="116"/>
      <c r="AE2183" s="116"/>
      <c r="AF2183" s="116"/>
      <c r="AG2183" s="116"/>
      <c r="AH2183" s="116"/>
      <c r="AI2183" s="116"/>
    </row>
    <row r="2184" spans="27:35" ht="18">
      <c r="AA2184" s="116"/>
      <c r="AB2184" s="184"/>
      <c r="AC2184" s="116"/>
      <c r="AD2184" s="116"/>
      <c r="AE2184" s="116"/>
      <c r="AF2184" s="116"/>
      <c r="AG2184" s="116"/>
      <c r="AH2184" s="116"/>
      <c r="AI2184" s="116"/>
    </row>
    <row r="2185" spans="27:35" ht="18">
      <c r="AA2185" s="116"/>
      <c r="AB2185" s="184"/>
      <c r="AC2185" s="116"/>
      <c r="AD2185" s="116"/>
      <c r="AE2185" s="116"/>
      <c r="AF2185" s="116"/>
      <c r="AG2185" s="116"/>
      <c r="AH2185" s="116"/>
      <c r="AI2185" s="116"/>
    </row>
    <row r="2186" spans="27:35" ht="18">
      <c r="AA2186" s="116"/>
      <c r="AB2186" s="87"/>
      <c r="AC2186" s="116"/>
      <c r="AD2186" s="116"/>
      <c r="AE2186" s="116"/>
      <c r="AF2186" s="116"/>
      <c r="AG2186" s="116"/>
      <c r="AH2186" s="116"/>
      <c r="AI2186" s="116"/>
    </row>
    <row r="2187" spans="27:35" ht="18">
      <c r="AA2187" s="116"/>
      <c r="AB2187" s="87"/>
      <c r="AC2187" s="116"/>
      <c r="AD2187" s="116"/>
      <c r="AE2187" s="116"/>
      <c r="AF2187" s="116"/>
      <c r="AG2187" s="116"/>
      <c r="AH2187" s="116"/>
      <c r="AI2187" s="116"/>
    </row>
    <row r="2188" spans="27:35" ht="18">
      <c r="AA2188" s="116"/>
      <c r="AB2188" s="87"/>
      <c r="AC2188" s="116"/>
      <c r="AD2188" s="116"/>
      <c r="AE2188" s="116"/>
      <c r="AF2188" s="116"/>
      <c r="AG2188" s="116"/>
      <c r="AH2188" s="116"/>
      <c r="AI2188" s="116"/>
    </row>
    <row r="2189" spans="27:35" ht="18">
      <c r="AA2189" s="116"/>
      <c r="AB2189" s="87"/>
      <c r="AC2189" s="116"/>
      <c r="AD2189" s="116"/>
      <c r="AE2189" s="116"/>
      <c r="AF2189" s="116"/>
      <c r="AG2189" s="116"/>
      <c r="AH2189" s="116"/>
      <c r="AI2189" s="116"/>
    </row>
    <row r="2190" spans="27:35" ht="18">
      <c r="AA2190" s="116"/>
      <c r="AB2190" s="87"/>
      <c r="AC2190" s="116"/>
      <c r="AD2190" s="116"/>
      <c r="AE2190" s="116"/>
      <c r="AF2190" s="116"/>
      <c r="AG2190" s="116"/>
      <c r="AH2190" s="116"/>
      <c r="AI2190" s="116"/>
    </row>
    <row r="2191" spans="27:35" ht="18">
      <c r="AA2191" s="116"/>
      <c r="AB2191" s="184"/>
      <c r="AC2191" s="116"/>
      <c r="AD2191" s="116"/>
      <c r="AE2191" s="116"/>
      <c r="AF2191" s="116"/>
      <c r="AG2191" s="116"/>
      <c r="AH2191" s="116"/>
      <c r="AI2191" s="116"/>
    </row>
    <row r="2192" spans="27:35" ht="18">
      <c r="AA2192" s="116"/>
      <c r="AB2192" s="184"/>
      <c r="AC2192" s="116"/>
      <c r="AD2192" s="116"/>
      <c r="AE2192" s="116"/>
      <c r="AF2192" s="116"/>
      <c r="AG2192" s="116"/>
      <c r="AH2192" s="116"/>
      <c r="AI2192" s="116"/>
    </row>
    <row r="2193" spans="27:35" ht="18">
      <c r="AA2193" s="116"/>
      <c r="AB2193" s="87"/>
      <c r="AC2193" s="116"/>
      <c r="AD2193" s="116"/>
      <c r="AE2193" s="116"/>
      <c r="AF2193" s="116"/>
      <c r="AG2193" s="116"/>
      <c r="AH2193" s="116"/>
      <c r="AI2193" s="116"/>
    </row>
    <row r="2194" spans="27:35" ht="18">
      <c r="AA2194" s="116"/>
      <c r="AB2194" s="87"/>
      <c r="AC2194" s="116"/>
      <c r="AD2194" s="116"/>
      <c r="AE2194" s="116"/>
      <c r="AF2194" s="116"/>
      <c r="AG2194" s="116"/>
      <c r="AH2194" s="116"/>
      <c r="AI2194" s="116"/>
    </row>
    <row r="2195" spans="27:35" ht="18">
      <c r="AA2195" s="116"/>
      <c r="AB2195" s="87"/>
      <c r="AC2195" s="116"/>
      <c r="AD2195" s="116"/>
      <c r="AE2195" s="116"/>
      <c r="AF2195" s="116"/>
      <c r="AG2195" s="116"/>
      <c r="AH2195" s="116"/>
      <c r="AI2195" s="116"/>
    </row>
    <row r="2196" spans="27:35" ht="18">
      <c r="AA2196" s="116"/>
      <c r="AB2196" s="87"/>
      <c r="AC2196" s="116"/>
      <c r="AD2196" s="116"/>
      <c r="AE2196" s="116"/>
      <c r="AF2196" s="116"/>
      <c r="AG2196" s="116"/>
      <c r="AH2196" s="116"/>
      <c r="AI2196" s="116"/>
    </row>
    <row r="2197" spans="27:35" ht="18">
      <c r="AA2197" s="116"/>
      <c r="AB2197" s="184"/>
      <c r="AC2197" s="116"/>
      <c r="AD2197" s="116"/>
      <c r="AE2197" s="116"/>
      <c r="AF2197" s="116"/>
      <c r="AG2197" s="116"/>
      <c r="AH2197" s="116"/>
      <c r="AI2197" s="116"/>
    </row>
    <row r="2198" spans="27:35" ht="18">
      <c r="AA2198" s="116"/>
      <c r="AB2198" s="184"/>
      <c r="AC2198" s="116"/>
      <c r="AD2198" s="116"/>
      <c r="AE2198" s="116"/>
      <c r="AF2198" s="116"/>
      <c r="AG2198" s="116"/>
      <c r="AH2198" s="116"/>
      <c r="AI2198" s="116"/>
    </row>
    <row r="2199" spans="27:35" ht="18">
      <c r="AA2199" s="116"/>
      <c r="AB2199" s="87"/>
      <c r="AC2199" s="116"/>
      <c r="AD2199" s="116"/>
      <c r="AE2199" s="116"/>
      <c r="AF2199" s="116"/>
      <c r="AG2199" s="116"/>
      <c r="AH2199" s="116"/>
      <c r="AI2199" s="116"/>
    </row>
    <row r="2200" spans="27:35" ht="18">
      <c r="AA2200" s="116"/>
      <c r="AB2200" s="87"/>
      <c r="AC2200" s="116"/>
      <c r="AD2200" s="116"/>
      <c r="AE2200" s="116"/>
      <c r="AF2200" s="116"/>
      <c r="AG2200" s="116"/>
      <c r="AH2200" s="116"/>
      <c r="AI2200" s="116"/>
    </row>
    <row r="2201" spans="27:35" ht="18">
      <c r="AA2201" s="116"/>
      <c r="AB2201" s="87"/>
      <c r="AC2201" s="116"/>
      <c r="AD2201" s="116"/>
      <c r="AE2201" s="116"/>
      <c r="AF2201" s="116"/>
      <c r="AG2201" s="116"/>
      <c r="AH2201" s="116"/>
      <c r="AI2201" s="116"/>
    </row>
    <row r="2202" spans="27:35" ht="18">
      <c r="AA2202" s="116"/>
      <c r="AB2202" s="87"/>
      <c r="AC2202" s="116"/>
      <c r="AD2202" s="116"/>
      <c r="AE2202" s="117"/>
      <c r="AF2202" s="116"/>
      <c r="AG2202" s="116"/>
      <c r="AH2202" s="116"/>
      <c r="AI2202" s="116"/>
    </row>
    <row r="2203" spans="27:35" ht="18">
      <c r="AA2203" s="116"/>
      <c r="AB2203" s="87"/>
      <c r="AC2203" s="116"/>
      <c r="AD2203" s="116"/>
      <c r="AE2203" s="117"/>
      <c r="AF2203" s="116"/>
      <c r="AG2203" s="116"/>
      <c r="AH2203" s="116"/>
      <c r="AI2203" s="116"/>
    </row>
    <row r="2204" spans="27:35" ht="18">
      <c r="AA2204" s="116"/>
      <c r="AB2204" s="87"/>
      <c r="AC2204" s="116"/>
      <c r="AD2204" s="116"/>
      <c r="AE2204" s="117"/>
      <c r="AF2204" s="116"/>
      <c r="AG2204" s="116"/>
      <c r="AH2204" s="116"/>
      <c r="AI2204" s="116"/>
    </row>
    <row r="2205" spans="27:35" ht="18">
      <c r="AA2205" s="116"/>
      <c r="AB2205" s="87"/>
      <c r="AC2205" s="116"/>
      <c r="AD2205" s="116"/>
      <c r="AE2205" s="117"/>
      <c r="AF2205" s="116"/>
      <c r="AG2205" s="116"/>
      <c r="AH2205" s="116"/>
      <c r="AI2205" s="116"/>
    </row>
    <row r="2206" spans="27:35" ht="18">
      <c r="AA2206" s="116"/>
      <c r="AB2206" s="87"/>
      <c r="AC2206" s="116"/>
      <c r="AD2206" s="116"/>
      <c r="AE2206" s="117"/>
      <c r="AF2206" s="116"/>
      <c r="AG2206" s="116"/>
      <c r="AH2206" s="116"/>
      <c r="AI2206" s="116"/>
    </row>
    <row r="2207" spans="27:35" ht="18">
      <c r="AA2207" s="116"/>
      <c r="AB2207" s="87"/>
      <c r="AC2207" s="116"/>
      <c r="AD2207" s="116"/>
      <c r="AE2207" s="117"/>
      <c r="AF2207" s="116"/>
      <c r="AG2207" s="116"/>
      <c r="AH2207" s="116"/>
      <c r="AI2207" s="116"/>
    </row>
    <row r="2208" spans="27:35" ht="18">
      <c r="AA2208" s="116"/>
      <c r="AB2208" s="87"/>
      <c r="AC2208" s="116"/>
      <c r="AD2208" s="116"/>
      <c r="AE2208" s="116"/>
      <c r="AF2208" s="116"/>
      <c r="AG2208" s="116"/>
      <c r="AH2208" s="116"/>
      <c r="AI2208" s="116"/>
    </row>
    <row r="2209" spans="27:35" ht="18">
      <c r="AA2209" s="116"/>
      <c r="AB2209" s="184"/>
      <c r="AC2209" s="116"/>
      <c r="AD2209" s="116"/>
      <c r="AE2209" s="116"/>
      <c r="AF2209" s="116"/>
      <c r="AG2209" s="116"/>
      <c r="AH2209" s="116"/>
      <c r="AI2209" s="116"/>
    </row>
    <row r="2210" spans="27:35" ht="18">
      <c r="AA2210" s="116"/>
      <c r="AB2210" s="184"/>
      <c r="AC2210" s="116"/>
      <c r="AD2210" s="116"/>
      <c r="AE2210" s="116"/>
      <c r="AF2210" s="116"/>
      <c r="AG2210" s="116"/>
      <c r="AH2210" s="116"/>
      <c r="AI2210" s="116"/>
    </row>
    <row r="2211" spans="27:35" ht="18">
      <c r="AA2211" s="116"/>
      <c r="AB2211" s="87"/>
      <c r="AC2211" s="116"/>
      <c r="AD2211" s="116"/>
      <c r="AE2211" s="116"/>
      <c r="AF2211" s="116"/>
      <c r="AG2211" s="116"/>
      <c r="AH2211" s="116"/>
      <c r="AI2211" s="116"/>
    </row>
    <row r="2212" spans="27:35" ht="18">
      <c r="AA2212" s="116"/>
      <c r="AB2212" s="87"/>
      <c r="AC2212" s="116"/>
      <c r="AD2212" s="116"/>
      <c r="AE2212" s="116"/>
      <c r="AF2212" s="116"/>
      <c r="AG2212" s="116"/>
      <c r="AH2212" s="116"/>
      <c r="AI2212" s="116"/>
    </row>
    <row r="2213" spans="27:35" ht="18">
      <c r="AA2213" s="116"/>
      <c r="AB2213" s="87"/>
      <c r="AC2213" s="116"/>
      <c r="AD2213" s="116"/>
      <c r="AE2213" s="116"/>
      <c r="AF2213" s="116"/>
      <c r="AG2213" s="116"/>
      <c r="AH2213" s="116"/>
      <c r="AI2213" s="116"/>
    </row>
    <row r="2214" spans="27:35" ht="18">
      <c r="AA2214" s="116"/>
      <c r="AB2214" s="184"/>
      <c r="AC2214" s="116"/>
      <c r="AD2214" s="116"/>
      <c r="AE2214" s="116"/>
      <c r="AF2214" s="116"/>
      <c r="AG2214" s="116"/>
      <c r="AH2214" s="116"/>
      <c r="AI2214" s="116"/>
    </row>
    <row r="2215" spans="27:35" ht="18">
      <c r="AA2215" s="116"/>
      <c r="AB2215" s="184"/>
      <c r="AC2215" s="116"/>
      <c r="AD2215" s="116"/>
      <c r="AE2215" s="116"/>
      <c r="AF2215" s="116"/>
      <c r="AG2215" s="116"/>
      <c r="AH2215" s="116"/>
      <c r="AI2215" s="116"/>
    </row>
    <row r="2216" spans="27:35" ht="18">
      <c r="AA2216" s="116"/>
      <c r="AB2216" s="87"/>
      <c r="AC2216" s="116"/>
      <c r="AD2216" s="116"/>
      <c r="AE2216" s="116"/>
      <c r="AF2216" s="116"/>
      <c r="AG2216" s="116"/>
      <c r="AH2216" s="116"/>
      <c r="AI2216" s="116"/>
    </row>
    <row r="2217" spans="27:35" ht="18">
      <c r="AA2217" s="116"/>
      <c r="AB2217" s="87"/>
      <c r="AC2217" s="116"/>
      <c r="AD2217" s="116"/>
      <c r="AE2217" s="116"/>
      <c r="AF2217" s="116"/>
      <c r="AG2217" s="116"/>
      <c r="AH2217" s="116"/>
      <c r="AI2217" s="116"/>
    </row>
    <row r="2218" spans="27:35" ht="18">
      <c r="AA2218" s="116"/>
      <c r="AB2218" s="87"/>
      <c r="AC2218" s="116"/>
      <c r="AD2218" s="116"/>
      <c r="AE2218" s="116"/>
      <c r="AF2218" s="116"/>
      <c r="AG2218" s="116"/>
      <c r="AH2218" s="116"/>
      <c r="AI2218" s="116"/>
    </row>
    <row r="2219" spans="27:35" ht="18">
      <c r="AA2219" s="116"/>
      <c r="AB2219" s="87"/>
      <c r="AC2219" s="116"/>
      <c r="AD2219" s="116"/>
      <c r="AE2219" s="116"/>
      <c r="AF2219" s="116"/>
      <c r="AG2219" s="116"/>
      <c r="AH2219" s="116"/>
      <c r="AI2219" s="116"/>
    </row>
    <row r="2220" spans="27:35" ht="18">
      <c r="AA2220" s="116"/>
      <c r="AB2220" s="87"/>
      <c r="AC2220" s="116"/>
      <c r="AD2220" s="116"/>
      <c r="AE2220" s="116"/>
      <c r="AF2220" s="116"/>
      <c r="AG2220" s="116"/>
      <c r="AH2220" s="116"/>
      <c r="AI2220" s="116"/>
    </row>
    <row r="2221" spans="27:35" ht="18">
      <c r="AA2221" s="116"/>
      <c r="AB2221" s="184"/>
      <c r="AC2221" s="116"/>
      <c r="AD2221" s="116"/>
      <c r="AE2221" s="116"/>
      <c r="AF2221" s="116"/>
      <c r="AG2221" s="116"/>
      <c r="AH2221" s="116"/>
      <c r="AI2221" s="116"/>
    </row>
    <row r="2222" spans="27:35" ht="18">
      <c r="AA2222" s="116"/>
      <c r="AB2222" s="184"/>
      <c r="AC2222" s="116"/>
      <c r="AD2222" s="116"/>
      <c r="AE2222" s="116"/>
      <c r="AF2222" s="116"/>
      <c r="AG2222" s="116"/>
      <c r="AH2222" s="116"/>
      <c r="AI2222" s="116"/>
    </row>
    <row r="2223" spans="27:35" ht="18">
      <c r="AA2223" s="116"/>
      <c r="AB2223" s="87"/>
      <c r="AC2223" s="116"/>
      <c r="AD2223" s="116"/>
      <c r="AE2223" s="116"/>
      <c r="AF2223" s="116"/>
      <c r="AG2223" s="116"/>
      <c r="AH2223" s="116"/>
      <c r="AI2223" s="116"/>
    </row>
    <row r="2224" spans="27:35" ht="18">
      <c r="AA2224" s="116"/>
      <c r="AB2224" s="87"/>
      <c r="AC2224" s="116"/>
      <c r="AD2224" s="116"/>
      <c r="AE2224" s="116"/>
      <c r="AF2224" s="116"/>
      <c r="AG2224" s="116"/>
      <c r="AH2224" s="116"/>
      <c r="AI2224" s="116"/>
    </row>
    <row r="2225" spans="27:35" ht="18">
      <c r="AA2225" s="116"/>
      <c r="AB2225" s="87"/>
      <c r="AC2225" s="116"/>
      <c r="AD2225" s="116"/>
      <c r="AE2225" s="116"/>
      <c r="AF2225" s="116"/>
      <c r="AG2225" s="116"/>
      <c r="AH2225" s="116"/>
      <c r="AI2225" s="116"/>
    </row>
    <row r="2226" spans="27:35" ht="18">
      <c r="AA2226" s="116"/>
      <c r="AB2226" s="184"/>
      <c r="AC2226" s="116"/>
      <c r="AD2226" s="116"/>
      <c r="AE2226" s="116"/>
      <c r="AF2226" s="116"/>
      <c r="AG2226" s="116"/>
      <c r="AH2226" s="116"/>
      <c r="AI2226" s="116"/>
    </row>
    <row r="2227" spans="27:35" ht="18">
      <c r="AA2227" s="116"/>
      <c r="AB2227" s="184"/>
      <c r="AC2227" s="116"/>
      <c r="AD2227" s="116"/>
      <c r="AE2227" s="116"/>
      <c r="AF2227" s="116"/>
      <c r="AG2227" s="116"/>
      <c r="AH2227" s="116"/>
      <c r="AI2227" s="116"/>
    </row>
    <row r="2228" spans="27:35" ht="18">
      <c r="AA2228" s="116"/>
      <c r="AB2228" s="87"/>
      <c r="AC2228" s="116"/>
      <c r="AD2228" s="116"/>
      <c r="AE2228" s="116"/>
      <c r="AF2228" s="116"/>
      <c r="AG2228" s="116"/>
      <c r="AH2228" s="116"/>
      <c r="AI2228" s="116"/>
    </row>
    <row r="2229" spans="27:35" ht="18">
      <c r="AA2229" s="116"/>
      <c r="AB2229" s="87"/>
      <c r="AC2229" s="116"/>
      <c r="AD2229" s="116"/>
      <c r="AE2229" s="116"/>
      <c r="AF2229" s="116"/>
      <c r="AG2229" s="116"/>
      <c r="AH2229" s="116"/>
      <c r="AI2229" s="116"/>
    </row>
    <row r="2230" spans="27:35" ht="18">
      <c r="AA2230" s="116"/>
      <c r="AB2230" s="87"/>
      <c r="AC2230" s="116"/>
      <c r="AD2230" s="116"/>
      <c r="AE2230" s="116"/>
      <c r="AF2230" s="116"/>
      <c r="AG2230" s="116"/>
      <c r="AH2230" s="116"/>
      <c r="AI2230" s="116"/>
    </row>
    <row r="2231" spans="27:35" ht="18">
      <c r="AA2231" s="116"/>
      <c r="AB2231" s="87"/>
      <c r="AC2231" s="116"/>
      <c r="AD2231" s="116"/>
      <c r="AE2231" s="116"/>
      <c r="AF2231" s="116"/>
      <c r="AG2231" s="116"/>
      <c r="AH2231" s="116"/>
      <c r="AI2231" s="116"/>
    </row>
    <row r="2232" spans="27:35" ht="18">
      <c r="AA2232" s="116"/>
      <c r="AB2232" s="184"/>
      <c r="AC2232" s="116"/>
      <c r="AD2232" s="116"/>
      <c r="AE2232" s="116"/>
      <c r="AF2232" s="116"/>
      <c r="AG2232" s="116"/>
      <c r="AH2232" s="116"/>
      <c r="AI2232" s="116"/>
    </row>
    <row r="2233" spans="27:35" ht="18">
      <c r="AA2233" s="116"/>
      <c r="AB2233" s="184"/>
      <c r="AC2233" s="116"/>
      <c r="AD2233" s="116"/>
      <c r="AE2233" s="116"/>
      <c r="AF2233" s="116"/>
      <c r="AG2233" s="116"/>
      <c r="AH2233" s="116"/>
      <c r="AI2233" s="116"/>
    </row>
    <row r="2234" spans="27:35" ht="18">
      <c r="AA2234" s="116"/>
      <c r="AB2234" s="87"/>
      <c r="AC2234" s="116"/>
      <c r="AD2234" s="116"/>
      <c r="AE2234" s="116"/>
      <c r="AF2234" s="116"/>
      <c r="AG2234" s="116"/>
      <c r="AH2234" s="116"/>
      <c r="AI2234" s="116"/>
    </row>
    <row r="2235" spans="27:35" ht="18">
      <c r="AA2235" s="116"/>
      <c r="AB2235" s="87"/>
      <c r="AC2235" s="116"/>
      <c r="AD2235" s="116"/>
      <c r="AE2235" s="116"/>
      <c r="AF2235" s="116"/>
      <c r="AG2235" s="116"/>
      <c r="AH2235" s="116"/>
      <c r="AI2235" s="116"/>
    </row>
    <row r="2236" spans="27:35" ht="18">
      <c r="AA2236" s="116"/>
      <c r="AB2236" s="87"/>
      <c r="AC2236" s="116"/>
      <c r="AD2236" s="116"/>
      <c r="AE2236" s="116"/>
      <c r="AF2236" s="116"/>
      <c r="AG2236" s="116"/>
      <c r="AH2236" s="116"/>
      <c r="AI2236" s="116"/>
    </row>
    <row r="2237" spans="27:35" ht="18">
      <c r="AA2237" s="116"/>
      <c r="AB2237" s="87"/>
      <c r="AC2237" s="116"/>
      <c r="AD2237" s="116"/>
      <c r="AE2237" s="116"/>
      <c r="AF2237" s="116"/>
      <c r="AG2237" s="116"/>
      <c r="AH2237" s="116"/>
      <c r="AI2237" s="116"/>
    </row>
    <row r="2238" spans="27:35" ht="18">
      <c r="AA2238" s="116"/>
      <c r="AB2238" s="87"/>
      <c r="AC2238" s="116"/>
      <c r="AD2238" s="116"/>
      <c r="AE2238" s="116"/>
      <c r="AF2238" s="116"/>
      <c r="AG2238" s="116"/>
      <c r="AH2238" s="116"/>
      <c r="AI2238" s="116"/>
    </row>
    <row r="2239" spans="27:35" ht="18">
      <c r="AA2239" s="116"/>
      <c r="AB2239" s="184"/>
      <c r="AC2239" s="116"/>
      <c r="AD2239" s="116"/>
      <c r="AE2239" s="116"/>
      <c r="AF2239" s="116"/>
      <c r="AG2239" s="116"/>
      <c r="AH2239" s="116"/>
      <c r="AI2239" s="116"/>
    </row>
    <row r="2240" spans="27:35" ht="18">
      <c r="AA2240" s="116"/>
      <c r="AB2240" s="184"/>
      <c r="AC2240" s="116"/>
      <c r="AD2240" s="116"/>
      <c r="AE2240" s="116"/>
      <c r="AF2240" s="116"/>
      <c r="AG2240" s="116"/>
      <c r="AH2240" s="116"/>
      <c r="AI2240" s="116"/>
    </row>
    <row r="2241" spans="27:35" ht="18">
      <c r="AA2241" s="116"/>
      <c r="AB2241" s="87"/>
      <c r="AC2241" s="116"/>
      <c r="AD2241" s="116"/>
      <c r="AE2241" s="116"/>
      <c r="AF2241" s="116"/>
      <c r="AG2241" s="116"/>
      <c r="AH2241" s="116"/>
      <c r="AI2241" s="116"/>
    </row>
    <row r="2242" spans="27:35" ht="18">
      <c r="AA2242" s="116"/>
      <c r="AB2242" s="87"/>
      <c r="AC2242" s="116"/>
      <c r="AD2242" s="116"/>
      <c r="AE2242" s="116"/>
      <c r="AF2242" s="116"/>
      <c r="AG2242" s="116"/>
      <c r="AH2242" s="116"/>
      <c r="AI2242" s="116"/>
    </row>
    <row r="2243" spans="27:35" ht="18">
      <c r="AA2243" s="116"/>
      <c r="AB2243" s="87"/>
      <c r="AC2243" s="116"/>
      <c r="AD2243" s="116"/>
      <c r="AE2243" s="116"/>
      <c r="AF2243" s="116"/>
      <c r="AG2243" s="116"/>
      <c r="AH2243" s="116"/>
      <c r="AI2243" s="116"/>
    </row>
    <row r="2244" spans="27:35" ht="18">
      <c r="AA2244" s="116"/>
      <c r="AB2244" s="87"/>
      <c r="AC2244" s="116"/>
      <c r="AD2244" s="116"/>
      <c r="AE2244" s="116"/>
      <c r="AF2244" s="116"/>
      <c r="AG2244" s="116"/>
      <c r="AH2244" s="116"/>
      <c r="AI2244" s="116"/>
    </row>
    <row r="2245" spans="27:35" ht="18">
      <c r="AA2245" s="116"/>
      <c r="AB2245" s="87"/>
      <c r="AC2245" s="116"/>
      <c r="AD2245" s="116"/>
      <c r="AE2245" s="116"/>
      <c r="AF2245" s="116"/>
      <c r="AG2245" s="116"/>
      <c r="AH2245" s="116"/>
      <c r="AI2245" s="116"/>
    </row>
    <row r="2246" spans="27:35" ht="18">
      <c r="AA2246" s="116"/>
      <c r="AB2246" s="87"/>
      <c r="AC2246" s="116"/>
      <c r="AD2246" s="116"/>
      <c r="AE2246" s="116"/>
      <c r="AF2246" s="116"/>
      <c r="AG2246" s="116"/>
      <c r="AH2246" s="116"/>
      <c r="AI2246" s="116"/>
    </row>
    <row r="2247" spans="27:35" ht="18">
      <c r="AA2247" s="116"/>
      <c r="AB2247" s="87"/>
      <c r="AC2247" s="116"/>
      <c r="AD2247" s="116"/>
      <c r="AE2247" s="116"/>
      <c r="AF2247" s="116"/>
      <c r="AG2247" s="116"/>
      <c r="AH2247" s="116"/>
      <c r="AI2247" s="116"/>
    </row>
    <row r="2248" spans="27:35" ht="18">
      <c r="AA2248" s="116"/>
      <c r="AB2248" s="184"/>
      <c r="AC2248" s="116"/>
      <c r="AD2248" s="116"/>
      <c r="AE2248" s="116"/>
      <c r="AF2248" s="116"/>
      <c r="AG2248" s="116"/>
      <c r="AH2248" s="116"/>
      <c r="AI2248" s="116"/>
    </row>
    <row r="2249" spans="27:35" ht="18">
      <c r="AA2249" s="116"/>
      <c r="AB2249" s="184"/>
      <c r="AC2249" s="116"/>
      <c r="AD2249" s="116"/>
      <c r="AE2249" s="116"/>
      <c r="AF2249" s="116"/>
      <c r="AG2249" s="116"/>
      <c r="AH2249" s="116"/>
      <c r="AI2249" s="116"/>
    </row>
    <row r="2250" spans="27:35" ht="18">
      <c r="AA2250" s="116"/>
      <c r="AB2250" s="87"/>
      <c r="AC2250" s="116"/>
      <c r="AD2250" s="116"/>
      <c r="AE2250" s="116"/>
      <c r="AF2250" s="116"/>
      <c r="AG2250" s="116"/>
      <c r="AH2250" s="116"/>
      <c r="AI2250" s="116"/>
    </row>
    <row r="2251" spans="27:35" ht="18">
      <c r="AA2251" s="116"/>
      <c r="AB2251" s="87"/>
      <c r="AC2251" s="116"/>
      <c r="AD2251" s="116"/>
      <c r="AE2251" s="116"/>
      <c r="AF2251" s="116"/>
      <c r="AG2251" s="116"/>
      <c r="AH2251" s="116"/>
      <c r="AI2251" s="116"/>
    </row>
    <row r="2252" spans="27:35" ht="18">
      <c r="AA2252" s="116"/>
      <c r="AB2252" s="87"/>
      <c r="AC2252" s="116"/>
      <c r="AD2252" s="116"/>
      <c r="AE2252" s="116"/>
      <c r="AF2252" s="116"/>
      <c r="AG2252" s="116"/>
      <c r="AH2252" s="116"/>
      <c r="AI2252" s="116"/>
    </row>
    <row r="2253" spans="27:35" ht="18">
      <c r="AA2253" s="116"/>
      <c r="AB2253" s="87"/>
      <c r="AC2253" s="116"/>
      <c r="AD2253" s="116"/>
      <c r="AE2253" s="116"/>
      <c r="AF2253" s="116"/>
      <c r="AG2253" s="116"/>
      <c r="AH2253" s="116"/>
      <c r="AI2253" s="116"/>
    </row>
    <row r="2254" spans="27:35" ht="18">
      <c r="AA2254" s="116"/>
      <c r="AB2254" s="87"/>
      <c r="AC2254" s="116"/>
      <c r="AD2254" s="116"/>
      <c r="AE2254" s="116"/>
      <c r="AF2254" s="116"/>
      <c r="AG2254" s="116"/>
      <c r="AH2254" s="116"/>
      <c r="AI2254" s="116"/>
    </row>
    <row r="2255" spans="27:35" ht="18">
      <c r="AA2255" s="116"/>
      <c r="AB2255" s="87"/>
      <c r="AC2255" s="116"/>
      <c r="AD2255" s="116"/>
      <c r="AE2255" s="116"/>
      <c r="AF2255" s="116"/>
      <c r="AG2255" s="116"/>
      <c r="AH2255" s="116"/>
      <c r="AI2255" s="116"/>
    </row>
    <row r="2256" spans="27:35" ht="18">
      <c r="AA2256" s="116"/>
      <c r="AB2256" s="87"/>
      <c r="AC2256" s="116"/>
      <c r="AD2256" s="116"/>
      <c r="AE2256" s="116"/>
      <c r="AF2256" s="116"/>
      <c r="AG2256" s="116"/>
      <c r="AH2256" s="116"/>
      <c r="AI2256" s="116"/>
    </row>
    <row r="2257" spans="27:35" ht="18">
      <c r="AA2257" s="116"/>
      <c r="AB2257" s="184"/>
      <c r="AC2257" s="116"/>
      <c r="AD2257" s="116"/>
      <c r="AE2257" s="116"/>
      <c r="AF2257" s="116"/>
      <c r="AG2257" s="116"/>
      <c r="AH2257" s="116"/>
      <c r="AI2257" s="116"/>
    </row>
    <row r="2258" spans="27:35" ht="18">
      <c r="AA2258" s="116"/>
      <c r="AB2258" s="184"/>
      <c r="AC2258" s="116"/>
      <c r="AD2258" s="116"/>
      <c r="AE2258" s="116"/>
      <c r="AF2258" s="116"/>
      <c r="AG2258" s="116"/>
      <c r="AH2258" s="116"/>
      <c r="AI2258" s="116"/>
    </row>
    <row r="2259" spans="27:35" ht="18">
      <c r="AA2259" s="116"/>
      <c r="AB2259" s="87"/>
      <c r="AC2259" s="116"/>
      <c r="AD2259" s="116"/>
      <c r="AE2259" s="116"/>
      <c r="AF2259" s="116"/>
      <c r="AG2259" s="116"/>
      <c r="AH2259" s="116"/>
      <c r="AI2259" s="116"/>
    </row>
    <row r="2260" spans="27:35" ht="18">
      <c r="AA2260" s="116"/>
      <c r="AB2260" s="87"/>
      <c r="AC2260" s="116"/>
      <c r="AD2260" s="116"/>
      <c r="AE2260" s="116"/>
      <c r="AF2260" s="116"/>
      <c r="AG2260" s="116"/>
      <c r="AH2260" s="116"/>
      <c r="AI2260" s="116"/>
    </row>
    <row r="2261" spans="27:35" ht="18">
      <c r="AA2261" s="116"/>
      <c r="AB2261" s="87"/>
      <c r="AC2261" s="116"/>
      <c r="AD2261" s="116"/>
      <c r="AE2261" s="116"/>
      <c r="AF2261" s="116"/>
      <c r="AG2261" s="116"/>
      <c r="AH2261" s="116"/>
      <c r="AI2261" s="116"/>
    </row>
    <row r="2262" spans="27:35" ht="18">
      <c r="AA2262" s="116"/>
      <c r="AB2262" s="87"/>
      <c r="AC2262" s="116"/>
      <c r="AD2262" s="116"/>
      <c r="AE2262" s="116"/>
      <c r="AF2262" s="116"/>
      <c r="AG2262" s="116"/>
      <c r="AH2262" s="116"/>
      <c r="AI2262" s="116"/>
    </row>
    <row r="2263" spans="27:35" ht="18">
      <c r="AA2263" s="116"/>
      <c r="AB2263" s="87"/>
      <c r="AC2263" s="116"/>
      <c r="AD2263" s="116"/>
      <c r="AE2263" s="116"/>
      <c r="AF2263" s="116"/>
      <c r="AG2263" s="116"/>
      <c r="AH2263" s="116"/>
      <c r="AI2263" s="116"/>
    </row>
    <row r="2264" spans="27:35" ht="18">
      <c r="AA2264" s="116"/>
      <c r="AB2264" s="184"/>
      <c r="AC2264" s="116"/>
      <c r="AD2264" s="116"/>
      <c r="AE2264" s="116"/>
      <c r="AF2264" s="116"/>
      <c r="AG2264" s="116"/>
      <c r="AH2264" s="116"/>
      <c r="AI2264" s="116"/>
    </row>
    <row r="2265" spans="27:35" ht="18">
      <c r="AA2265" s="116"/>
      <c r="AB2265" s="184"/>
      <c r="AC2265" s="116"/>
      <c r="AD2265" s="116"/>
      <c r="AE2265" s="116"/>
      <c r="AF2265" s="116"/>
      <c r="AG2265" s="116"/>
      <c r="AH2265" s="116"/>
      <c r="AI2265" s="116"/>
    </row>
    <row r="2266" spans="27:35" ht="18">
      <c r="AA2266" s="116"/>
      <c r="AB2266" s="87"/>
      <c r="AC2266" s="116"/>
      <c r="AD2266" s="116"/>
      <c r="AE2266" s="116"/>
      <c r="AF2266" s="116"/>
      <c r="AG2266" s="116"/>
      <c r="AH2266" s="116"/>
      <c r="AI2266" s="116"/>
    </row>
    <row r="2267" spans="27:35" ht="18">
      <c r="AA2267" s="116"/>
      <c r="AB2267" s="87"/>
      <c r="AC2267" s="116"/>
      <c r="AD2267" s="116"/>
      <c r="AE2267" s="116"/>
      <c r="AF2267" s="116"/>
      <c r="AG2267" s="116"/>
      <c r="AH2267" s="116"/>
      <c r="AI2267" s="116"/>
    </row>
    <row r="2268" spans="27:35" ht="18">
      <c r="AA2268" s="116"/>
      <c r="AB2268" s="87"/>
      <c r="AC2268" s="116"/>
      <c r="AD2268" s="116"/>
      <c r="AE2268" s="116"/>
      <c r="AF2268" s="116"/>
      <c r="AG2268" s="116"/>
      <c r="AH2268" s="116"/>
      <c r="AI2268" s="116"/>
    </row>
    <row r="2269" spans="27:35" ht="18">
      <c r="AA2269" s="116"/>
      <c r="AB2269" s="87"/>
      <c r="AC2269" s="116"/>
      <c r="AD2269" s="116"/>
      <c r="AE2269" s="116"/>
      <c r="AF2269" s="116"/>
      <c r="AG2269" s="116"/>
      <c r="AH2269" s="116"/>
      <c r="AI2269" s="116"/>
    </row>
    <row r="2270" spans="27:35" ht="18">
      <c r="AA2270" s="116"/>
      <c r="AB2270" s="87"/>
      <c r="AC2270" s="116"/>
      <c r="AD2270" s="116"/>
      <c r="AE2270" s="116"/>
      <c r="AF2270" s="116"/>
      <c r="AG2270" s="116"/>
      <c r="AH2270" s="116"/>
      <c r="AI2270" s="116"/>
    </row>
    <row r="2271" spans="27:35" ht="18">
      <c r="AA2271" s="116"/>
      <c r="AB2271" s="87"/>
      <c r="AC2271" s="116"/>
      <c r="AD2271" s="116"/>
      <c r="AE2271" s="116"/>
      <c r="AF2271" s="116"/>
      <c r="AG2271" s="116"/>
      <c r="AH2271" s="116"/>
      <c r="AI2271" s="116"/>
    </row>
    <row r="2272" spans="27:35" ht="18">
      <c r="AA2272" s="116"/>
      <c r="AB2272" s="87"/>
      <c r="AC2272" s="116"/>
      <c r="AD2272" s="116"/>
      <c r="AE2272" s="116"/>
      <c r="AF2272" s="116"/>
      <c r="AG2272" s="116"/>
      <c r="AH2272" s="116"/>
      <c r="AI2272" s="116"/>
    </row>
    <row r="2273" spans="27:35" ht="18">
      <c r="AA2273" s="116"/>
      <c r="AB2273" s="184"/>
      <c r="AC2273" s="116"/>
      <c r="AD2273" s="116"/>
      <c r="AE2273" s="116"/>
      <c r="AF2273" s="116"/>
      <c r="AG2273" s="116"/>
      <c r="AH2273" s="116"/>
      <c r="AI2273" s="116"/>
    </row>
    <row r="2274" spans="27:35" ht="18">
      <c r="AA2274" s="116"/>
      <c r="AB2274" s="184"/>
      <c r="AC2274" s="116"/>
      <c r="AD2274" s="116"/>
      <c r="AE2274" s="116"/>
      <c r="AF2274" s="116"/>
      <c r="AG2274" s="116"/>
      <c r="AH2274" s="116"/>
      <c r="AI2274" s="116"/>
    </row>
    <row r="2275" spans="27:35" ht="18">
      <c r="AA2275" s="116"/>
      <c r="AB2275" s="184"/>
      <c r="AC2275" s="116"/>
      <c r="AD2275" s="116"/>
      <c r="AE2275" s="116"/>
      <c r="AF2275" s="116"/>
      <c r="AG2275" s="116"/>
      <c r="AH2275" s="116"/>
      <c r="AI2275" s="116"/>
    </row>
    <row r="2276" spans="27:35" ht="18">
      <c r="AA2276" s="116"/>
      <c r="AB2276" s="87"/>
      <c r="AC2276" s="116"/>
      <c r="AD2276" s="116"/>
      <c r="AE2276" s="116"/>
      <c r="AF2276" s="116"/>
      <c r="AG2276" s="116"/>
      <c r="AH2276" s="116"/>
      <c r="AI2276" s="116"/>
    </row>
    <row r="2277" spans="27:35" ht="18">
      <c r="AA2277" s="116"/>
      <c r="AB2277" s="87"/>
      <c r="AC2277" s="116"/>
      <c r="AD2277" s="116"/>
      <c r="AE2277" s="116"/>
      <c r="AF2277" s="116"/>
      <c r="AG2277" s="116"/>
      <c r="AH2277" s="116"/>
      <c r="AI2277" s="116"/>
    </row>
    <row r="2278" spans="27:35" ht="18">
      <c r="AA2278" s="116"/>
      <c r="AB2278" s="184"/>
      <c r="AC2278" s="116"/>
      <c r="AD2278" s="116"/>
      <c r="AE2278" s="116"/>
      <c r="AF2278" s="116"/>
      <c r="AG2278" s="116"/>
      <c r="AH2278" s="116"/>
      <c r="AI2278" s="116"/>
    </row>
    <row r="2279" spans="27:35" ht="18">
      <c r="AA2279" s="116"/>
      <c r="AB2279" s="87"/>
      <c r="AC2279" s="116"/>
      <c r="AD2279" s="116"/>
      <c r="AE2279" s="116"/>
      <c r="AF2279" s="116"/>
      <c r="AG2279" s="116"/>
      <c r="AH2279" s="116"/>
      <c r="AI2279" s="116"/>
    </row>
    <row r="2280" spans="27:35" ht="18">
      <c r="AA2280" s="116"/>
      <c r="AB2280" s="87"/>
      <c r="AC2280" s="116"/>
      <c r="AD2280" s="116"/>
      <c r="AE2280" s="116"/>
      <c r="AF2280" s="116"/>
      <c r="AG2280" s="116"/>
      <c r="AH2280" s="116"/>
      <c r="AI2280" s="116"/>
    </row>
    <row r="2281" spans="27:35" ht="18">
      <c r="AA2281" s="116"/>
      <c r="AB2281" s="184"/>
      <c r="AC2281" s="116"/>
      <c r="AD2281" s="116"/>
      <c r="AE2281" s="116"/>
      <c r="AF2281" s="116"/>
      <c r="AG2281" s="116"/>
      <c r="AH2281" s="116"/>
      <c r="AI2281" s="116"/>
    </row>
    <row r="2282" spans="27:35" ht="18">
      <c r="AA2282" s="116"/>
      <c r="AB2282" s="87"/>
      <c r="AC2282" s="116"/>
      <c r="AD2282" s="116"/>
      <c r="AE2282" s="116"/>
      <c r="AF2282" s="116"/>
      <c r="AG2282" s="116"/>
      <c r="AH2282" s="116"/>
      <c r="AI2282" s="116"/>
    </row>
    <row r="2283" spans="27:35" ht="18">
      <c r="AA2283" s="116"/>
      <c r="AB2283" s="87"/>
      <c r="AC2283" s="116"/>
      <c r="AD2283" s="116"/>
      <c r="AE2283" s="116"/>
      <c r="AF2283" s="116"/>
      <c r="AG2283" s="116"/>
      <c r="AH2283" s="116"/>
      <c r="AI2283" s="116"/>
    </row>
    <row r="2284" spans="27:35" ht="18">
      <c r="AA2284" s="116"/>
      <c r="AB2284" s="184"/>
      <c r="AC2284" s="116"/>
      <c r="AD2284" s="116"/>
      <c r="AE2284" s="116"/>
      <c r="AF2284" s="116"/>
      <c r="AG2284" s="116"/>
      <c r="AH2284" s="116"/>
      <c r="AI2284" s="116"/>
    </row>
    <row r="2285" spans="27:35" ht="18">
      <c r="AA2285" s="116"/>
      <c r="AB2285" s="87"/>
      <c r="AC2285" s="116"/>
      <c r="AD2285" s="116"/>
      <c r="AE2285" s="116"/>
      <c r="AF2285" s="116"/>
      <c r="AG2285" s="116"/>
      <c r="AH2285" s="116"/>
      <c r="AI2285" s="116"/>
    </row>
    <row r="2286" spans="27:35" ht="18">
      <c r="AA2286" s="116"/>
      <c r="AB2286" s="87"/>
      <c r="AC2286" s="116"/>
      <c r="AD2286" s="116"/>
      <c r="AE2286" s="116"/>
      <c r="AF2286" s="116"/>
      <c r="AG2286" s="116"/>
      <c r="AH2286" s="116"/>
      <c r="AI2286" s="116"/>
    </row>
    <row r="2287" spans="27:35" ht="18">
      <c r="AA2287" s="116"/>
      <c r="AB2287" s="184"/>
      <c r="AC2287" s="116"/>
      <c r="AD2287" s="116"/>
      <c r="AE2287" s="116"/>
      <c r="AF2287" s="116"/>
      <c r="AG2287" s="116"/>
      <c r="AH2287" s="116"/>
      <c r="AI2287" s="116"/>
    </row>
    <row r="2288" spans="27:35" ht="18">
      <c r="AA2288" s="116"/>
      <c r="AB2288" s="87"/>
      <c r="AC2288" s="116"/>
      <c r="AD2288" s="116"/>
      <c r="AE2288" s="116"/>
      <c r="AF2288" s="116"/>
      <c r="AG2288" s="116"/>
      <c r="AH2288" s="116"/>
      <c r="AI2288" s="116"/>
    </row>
    <row r="2289" spans="27:35" ht="18">
      <c r="AA2289" s="116"/>
      <c r="AB2289" s="87"/>
      <c r="AC2289" s="116"/>
      <c r="AD2289" s="116"/>
      <c r="AE2289" s="116"/>
      <c r="AF2289" s="116"/>
      <c r="AG2289" s="116"/>
      <c r="AH2289" s="116"/>
      <c r="AI2289" s="116"/>
    </row>
    <row r="2290" spans="27:35" ht="18">
      <c r="AA2290" s="116"/>
      <c r="AB2290" s="184"/>
      <c r="AC2290" s="116"/>
      <c r="AD2290" s="116"/>
      <c r="AE2290" s="116"/>
      <c r="AF2290" s="116"/>
      <c r="AG2290" s="116"/>
      <c r="AH2290" s="116"/>
      <c r="AI2290" s="116"/>
    </row>
    <row r="2291" spans="27:35" ht="18">
      <c r="AA2291" s="116"/>
      <c r="AB2291" s="184"/>
      <c r="AC2291" s="116"/>
      <c r="AD2291" s="116"/>
      <c r="AE2291" s="116"/>
      <c r="AF2291" s="116"/>
      <c r="AG2291" s="116"/>
      <c r="AH2291" s="116"/>
      <c r="AI2291" s="116"/>
    </row>
    <row r="2292" spans="27:35" ht="18">
      <c r="AA2292" s="116"/>
      <c r="AB2292" s="87"/>
      <c r="AC2292" s="116"/>
      <c r="AD2292" s="116"/>
      <c r="AE2292" s="116"/>
      <c r="AF2292" s="116"/>
      <c r="AG2292" s="116"/>
      <c r="AH2292" s="116"/>
      <c r="AI2292" s="116"/>
    </row>
    <row r="2293" spans="27:35" ht="18">
      <c r="AA2293" s="116"/>
      <c r="AB2293" s="87"/>
      <c r="AC2293" s="116"/>
      <c r="AD2293" s="116"/>
      <c r="AE2293" s="116"/>
      <c r="AF2293" s="116"/>
      <c r="AG2293" s="116"/>
      <c r="AH2293" s="116"/>
      <c r="AI2293" s="116"/>
    </row>
    <row r="2294" spans="27:35" ht="18">
      <c r="AA2294" s="116"/>
      <c r="AB2294" s="184"/>
      <c r="AC2294" s="116"/>
      <c r="AD2294" s="116"/>
      <c r="AE2294" s="116"/>
      <c r="AF2294" s="116"/>
      <c r="AG2294" s="116"/>
      <c r="AH2294" s="116"/>
      <c r="AI2294" s="116"/>
    </row>
    <row r="2295" spans="27:35" ht="18">
      <c r="AA2295" s="116"/>
      <c r="AB2295" s="87"/>
      <c r="AC2295" s="116"/>
      <c r="AD2295" s="116"/>
      <c r="AE2295" s="116"/>
      <c r="AF2295" s="116"/>
      <c r="AG2295" s="116"/>
      <c r="AH2295" s="116"/>
      <c r="AI2295" s="116"/>
    </row>
    <row r="2296" spans="27:35" ht="18">
      <c r="AA2296" s="116"/>
      <c r="AB2296" s="87"/>
      <c r="AC2296" s="116"/>
      <c r="AD2296" s="116"/>
      <c r="AE2296" s="116"/>
      <c r="AF2296" s="116"/>
      <c r="AG2296" s="116"/>
      <c r="AH2296" s="116"/>
      <c r="AI2296" s="116"/>
    </row>
    <row r="2297" spans="27:35" ht="18">
      <c r="AA2297" s="116"/>
      <c r="AB2297" s="184"/>
      <c r="AC2297" s="116"/>
      <c r="AD2297" s="116"/>
      <c r="AE2297" s="116"/>
      <c r="AF2297" s="116"/>
      <c r="AG2297" s="116"/>
      <c r="AH2297" s="116"/>
      <c r="AI2297" s="116"/>
    </row>
    <row r="2298" spans="27:35" ht="18">
      <c r="AA2298" s="116"/>
      <c r="AB2298" s="87"/>
      <c r="AC2298" s="116"/>
      <c r="AD2298" s="116"/>
      <c r="AE2298" s="116"/>
      <c r="AF2298" s="116"/>
      <c r="AG2298" s="116"/>
      <c r="AH2298" s="116"/>
      <c r="AI2298" s="116"/>
    </row>
    <row r="2299" spans="27:35" ht="18">
      <c r="AA2299" s="116"/>
      <c r="AB2299" s="87"/>
      <c r="AC2299" s="116"/>
      <c r="AD2299" s="116"/>
      <c r="AE2299" s="116"/>
      <c r="AF2299" s="116"/>
      <c r="AG2299" s="116"/>
      <c r="AH2299" s="116"/>
      <c r="AI2299" s="116"/>
    </row>
    <row r="2300" spans="27:35" ht="18">
      <c r="AA2300" s="116"/>
      <c r="AB2300" s="184"/>
      <c r="AC2300" s="116"/>
      <c r="AD2300" s="116"/>
      <c r="AE2300" s="116"/>
      <c r="AF2300" s="116"/>
      <c r="AG2300" s="116"/>
      <c r="AH2300" s="116"/>
      <c r="AI2300" s="116"/>
    </row>
    <row r="2301" spans="27:35" ht="18">
      <c r="AA2301" s="116"/>
      <c r="AB2301" s="87"/>
      <c r="AC2301" s="116"/>
      <c r="AD2301" s="116"/>
      <c r="AE2301" s="116"/>
      <c r="AF2301" s="116"/>
      <c r="AG2301" s="116"/>
      <c r="AH2301" s="116"/>
      <c r="AI2301" s="116"/>
    </row>
    <row r="2302" spans="27:35" ht="18">
      <c r="AA2302" s="116"/>
      <c r="AB2302" s="87"/>
      <c r="AC2302" s="116"/>
      <c r="AD2302" s="116"/>
      <c r="AE2302" s="116"/>
      <c r="AF2302" s="116"/>
      <c r="AG2302" s="116"/>
      <c r="AH2302" s="116"/>
      <c r="AI2302" s="116"/>
    </row>
    <row r="2303" spans="27:35" ht="18">
      <c r="AA2303" s="116"/>
      <c r="AB2303" s="184"/>
      <c r="AC2303" s="116"/>
      <c r="AD2303" s="116"/>
      <c r="AE2303" s="116"/>
      <c r="AF2303" s="116"/>
      <c r="AG2303" s="116"/>
      <c r="AH2303" s="116"/>
      <c r="AI2303" s="116"/>
    </row>
    <row r="2304" spans="27:35" ht="18">
      <c r="AA2304" s="116"/>
      <c r="AB2304" s="87"/>
      <c r="AC2304" s="116"/>
      <c r="AD2304" s="116"/>
      <c r="AE2304" s="116"/>
      <c r="AF2304" s="116"/>
      <c r="AG2304" s="116"/>
      <c r="AH2304" s="116"/>
      <c r="AI2304" s="116"/>
    </row>
    <row r="2305" spans="27:35" ht="18">
      <c r="AA2305" s="116"/>
      <c r="AB2305" s="87"/>
      <c r="AC2305" s="116"/>
      <c r="AD2305" s="116"/>
      <c r="AE2305" s="116"/>
      <c r="AF2305" s="116"/>
      <c r="AG2305" s="116"/>
      <c r="AH2305" s="116"/>
      <c r="AI2305" s="116"/>
    </row>
    <row r="2306" spans="27:35" ht="18">
      <c r="AA2306" s="116"/>
      <c r="AB2306" s="87"/>
      <c r="AC2306" s="116"/>
      <c r="AD2306" s="116"/>
      <c r="AE2306" s="116"/>
      <c r="AF2306" s="116"/>
      <c r="AG2306" s="116"/>
      <c r="AH2306" s="116"/>
      <c r="AI2306" s="116"/>
    </row>
    <row r="2307" spans="27:35" ht="18">
      <c r="AA2307" s="116"/>
      <c r="AB2307" s="87"/>
      <c r="AC2307" s="116"/>
      <c r="AD2307" s="116"/>
      <c r="AE2307" s="116"/>
      <c r="AF2307" s="116"/>
      <c r="AG2307" s="116"/>
      <c r="AH2307" s="116"/>
      <c r="AI2307" s="116"/>
    </row>
    <row r="2308" spans="27:35" ht="18">
      <c r="AA2308" s="116"/>
      <c r="AB2308" s="87"/>
      <c r="AC2308" s="116"/>
      <c r="AD2308" s="116"/>
      <c r="AE2308" s="116"/>
      <c r="AF2308" s="116"/>
      <c r="AG2308" s="116"/>
      <c r="AH2308" s="116"/>
      <c r="AI2308" s="116"/>
    </row>
    <row r="2309" spans="27:35" ht="18">
      <c r="AA2309" s="116"/>
      <c r="AB2309" s="184"/>
      <c r="AC2309" s="116"/>
      <c r="AD2309" s="116"/>
      <c r="AE2309" s="116"/>
      <c r="AF2309" s="116"/>
      <c r="AG2309" s="116"/>
      <c r="AH2309" s="116"/>
      <c r="AI2309" s="116"/>
    </row>
    <row r="2310" spans="27:35" ht="18">
      <c r="AA2310" s="116"/>
      <c r="AB2310" s="87"/>
      <c r="AC2310" s="116"/>
      <c r="AD2310" s="116"/>
      <c r="AE2310" s="116"/>
      <c r="AF2310" s="116"/>
      <c r="AG2310" s="116"/>
      <c r="AH2310" s="116"/>
      <c r="AI2310" s="116"/>
    </row>
    <row r="2311" spans="27:35" ht="18">
      <c r="AA2311" s="116"/>
      <c r="AB2311" s="87"/>
      <c r="AC2311" s="116"/>
      <c r="AD2311" s="116"/>
      <c r="AE2311" s="116"/>
      <c r="AF2311" s="116"/>
      <c r="AG2311" s="116"/>
      <c r="AH2311" s="116"/>
      <c r="AI2311" s="116"/>
    </row>
    <row r="2312" spans="27:35" ht="18">
      <c r="AA2312" s="116"/>
      <c r="AB2312" s="184"/>
      <c r="AC2312" s="116"/>
      <c r="AD2312" s="116"/>
      <c r="AE2312" s="116"/>
      <c r="AF2312" s="116"/>
      <c r="AG2312" s="116"/>
      <c r="AH2312" s="116"/>
      <c r="AI2312" s="116"/>
    </row>
    <row r="2313" spans="27:35" ht="18">
      <c r="AA2313" s="116"/>
      <c r="AB2313" s="87"/>
      <c r="AC2313" s="116"/>
      <c r="AD2313" s="116"/>
      <c r="AE2313" s="116"/>
      <c r="AF2313" s="116"/>
      <c r="AG2313" s="116"/>
      <c r="AH2313" s="116"/>
      <c r="AI2313" s="116"/>
    </row>
    <row r="2314" spans="27:35" ht="18">
      <c r="AA2314" s="116"/>
      <c r="AB2314" s="87"/>
      <c r="AC2314" s="116"/>
      <c r="AD2314" s="116"/>
      <c r="AE2314" s="116"/>
      <c r="AF2314" s="116"/>
      <c r="AG2314" s="116"/>
      <c r="AH2314" s="116"/>
      <c r="AI2314" s="116"/>
    </row>
    <row r="2315" spans="27:35" ht="18">
      <c r="AA2315" s="116"/>
      <c r="AB2315" s="184"/>
      <c r="AC2315" s="116"/>
      <c r="AD2315" s="116"/>
      <c r="AE2315" s="116"/>
      <c r="AF2315" s="116"/>
      <c r="AG2315" s="116"/>
      <c r="AH2315" s="116"/>
      <c r="AI2315" s="116"/>
    </row>
    <row r="2316" spans="27:35" ht="18">
      <c r="AA2316" s="116"/>
      <c r="AB2316" s="87"/>
      <c r="AC2316" s="116"/>
      <c r="AD2316" s="116"/>
      <c r="AE2316" s="116"/>
      <c r="AF2316" s="116"/>
      <c r="AG2316" s="116"/>
      <c r="AH2316" s="116"/>
      <c r="AI2316" s="116"/>
    </row>
    <row r="2317" spans="27:35" ht="18">
      <c r="AA2317" s="116"/>
      <c r="AB2317" s="87"/>
      <c r="AC2317" s="116"/>
      <c r="AD2317" s="116"/>
      <c r="AE2317" s="116"/>
      <c r="AF2317" s="116"/>
      <c r="AG2317" s="116"/>
      <c r="AH2317" s="116"/>
      <c r="AI2317" s="116"/>
    </row>
    <row r="2318" spans="27:35" ht="18">
      <c r="AA2318" s="116"/>
      <c r="AB2318" s="184"/>
      <c r="AC2318" s="116"/>
      <c r="AD2318" s="116"/>
      <c r="AE2318" s="116"/>
      <c r="AF2318" s="116"/>
      <c r="AG2318" s="116"/>
      <c r="AH2318" s="116"/>
      <c r="AI2318" s="116"/>
    </row>
    <row r="2319" spans="27:35" ht="18">
      <c r="AA2319" s="116"/>
      <c r="AB2319" s="87"/>
      <c r="AC2319" s="116"/>
      <c r="AD2319" s="116"/>
      <c r="AE2319" s="116"/>
      <c r="AF2319" s="116"/>
      <c r="AG2319" s="116"/>
      <c r="AH2319" s="116"/>
      <c r="AI2319" s="116"/>
    </row>
    <row r="2320" spans="27:35" ht="18">
      <c r="AA2320" s="116"/>
      <c r="AB2320" s="87"/>
      <c r="AC2320" s="116"/>
      <c r="AD2320" s="116"/>
      <c r="AE2320" s="116"/>
      <c r="AF2320" s="116"/>
      <c r="AG2320" s="116"/>
      <c r="AH2320" s="116"/>
      <c r="AI2320" s="116"/>
    </row>
    <row r="2321" spans="27:35" ht="18">
      <c r="AA2321" s="116"/>
      <c r="AB2321" s="184"/>
      <c r="AC2321" s="116"/>
      <c r="AD2321" s="116"/>
      <c r="AE2321" s="116"/>
      <c r="AF2321" s="116"/>
      <c r="AG2321" s="116"/>
      <c r="AH2321" s="116"/>
      <c r="AI2321" s="116"/>
    </row>
    <row r="2322" spans="27:35" ht="18">
      <c r="AA2322" s="116"/>
      <c r="AB2322" s="87"/>
      <c r="AC2322" s="116"/>
      <c r="AD2322" s="116"/>
      <c r="AE2322" s="116"/>
      <c r="AF2322" s="116"/>
      <c r="AG2322" s="116"/>
      <c r="AH2322" s="116"/>
      <c r="AI2322" s="116"/>
    </row>
    <row r="2323" spans="27:35" ht="18">
      <c r="AA2323" s="116"/>
      <c r="AB2323" s="87"/>
      <c r="AC2323" s="116"/>
      <c r="AD2323" s="116"/>
      <c r="AE2323" s="116"/>
      <c r="AF2323" s="116"/>
      <c r="AG2323" s="116"/>
      <c r="AH2323" s="116"/>
      <c r="AI2323" s="116"/>
    </row>
    <row r="2324" spans="27:35" ht="18">
      <c r="AA2324" s="116"/>
      <c r="AB2324" s="184"/>
      <c r="AC2324" s="116"/>
      <c r="AD2324" s="116"/>
      <c r="AE2324" s="116"/>
      <c r="AF2324" s="116"/>
      <c r="AG2324" s="116"/>
      <c r="AH2324" s="116"/>
      <c r="AI2324" s="116"/>
    </row>
    <row r="2325" spans="27:35" ht="18">
      <c r="AA2325" s="116"/>
      <c r="AB2325" s="87"/>
      <c r="AC2325" s="116"/>
      <c r="AD2325" s="116"/>
      <c r="AE2325" s="116"/>
      <c r="AF2325" s="116"/>
      <c r="AG2325" s="116"/>
      <c r="AH2325" s="116"/>
      <c r="AI2325" s="116"/>
    </row>
    <row r="2326" spans="27:35" ht="18">
      <c r="AA2326" s="116"/>
      <c r="AB2326" s="87"/>
      <c r="AC2326" s="116"/>
      <c r="AD2326" s="116"/>
      <c r="AE2326" s="116"/>
      <c r="AF2326" s="116"/>
      <c r="AG2326" s="116"/>
      <c r="AH2326" s="116"/>
      <c r="AI2326" s="116"/>
    </row>
    <row r="2327" spans="27:35" ht="18">
      <c r="AA2327" s="116"/>
      <c r="AB2327" s="87"/>
      <c r="AC2327" s="116"/>
      <c r="AD2327" s="116"/>
      <c r="AE2327" s="116"/>
      <c r="AF2327" s="116"/>
      <c r="AG2327" s="116"/>
      <c r="AH2327" s="116"/>
      <c r="AI2327" s="116"/>
    </row>
    <row r="2328" spans="27:35" ht="18">
      <c r="AA2328" s="116"/>
      <c r="AB2328" s="87"/>
      <c r="AC2328" s="116"/>
      <c r="AD2328" s="116"/>
      <c r="AE2328" s="116"/>
      <c r="AF2328" s="116"/>
      <c r="AG2328" s="116"/>
      <c r="AH2328" s="116"/>
      <c r="AI2328" s="116"/>
    </row>
    <row r="2329" spans="27:35" ht="18">
      <c r="AA2329" s="116"/>
      <c r="AB2329" s="87"/>
      <c r="AC2329" s="116"/>
      <c r="AD2329" s="116"/>
      <c r="AE2329" s="116"/>
      <c r="AF2329" s="116"/>
      <c r="AG2329" s="116"/>
      <c r="AH2329" s="116"/>
      <c r="AI2329" s="116"/>
    </row>
    <row r="2330" spans="27:35" ht="18">
      <c r="AA2330" s="116"/>
      <c r="AB2330" s="87"/>
      <c r="AC2330" s="116"/>
      <c r="AD2330" s="116"/>
      <c r="AE2330" s="116"/>
      <c r="AF2330" s="116"/>
      <c r="AG2330" s="116"/>
      <c r="AH2330" s="116"/>
      <c r="AI2330" s="116"/>
    </row>
    <row r="2331" spans="27:35" ht="18">
      <c r="AA2331" s="116"/>
      <c r="AB2331" s="87"/>
      <c r="AC2331" s="116"/>
      <c r="AD2331" s="116"/>
      <c r="AE2331" s="116"/>
      <c r="AF2331" s="116"/>
      <c r="AG2331" s="116"/>
      <c r="AH2331" s="116"/>
      <c r="AI2331" s="116"/>
    </row>
    <row r="2332" spans="27:35" ht="18">
      <c r="AA2332" s="116"/>
      <c r="AB2332" s="87"/>
      <c r="AC2332" s="116"/>
      <c r="AD2332" s="116"/>
      <c r="AE2332" s="116"/>
      <c r="AF2332" s="116"/>
      <c r="AG2332" s="116"/>
      <c r="AH2332" s="116"/>
      <c r="AI2332" s="116"/>
    </row>
    <row r="2333" spans="27:35" ht="18">
      <c r="AA2333" s="116"/>
      <c r="AB2333" s="184"/>
      <c r="AC2333" s="116"/>
      <c r="AD2333" s="116"/>
      <c r="AE2333" s="116"/>
      <c r="AF2333" s="116"/>
      <c r="AG2333" s="116"/>
      <c r="AH2333" s="116"/>
      <c r="AI2333" s="116"/>
    </row>
    <row r="2334" spans="27:35" ht="18">
      <c r="AA2334" s="116"/>
      <c r="AB2334" s="87"/>
      <c r="AC2334" s="116"/>
      <c r="AD2334" s="116"/>
      <c r="AE2334" s="116"/>
      <c r="AF2334" s="116"/>
      <c r="AG2334" s="116"/>
      <c r="AH2334" s="116"/>
      <c r="AI2334" s="116"/>
    </row>
    <row r="2335" spans="27:35" ht="18">
      <c r="AA2335" s="116"/>
      <c r="AB2335" s="87"/>
      <c r="AC2335" s="116"/>
      <c r="AD2335" s="116"/>
      <c r="AE2335" s="116"/>
      <c r="AF2335" s="116"/>
      <c r="AG2335" s="116"/>
      <c r="AH2335" s="116"/>
      <c r="AI2335" s="116"/>
    </row>
    <row r="2336" spans="27:35" ht="18">
      <c r="AA2336" s="116"/>
      <c r="AB2336" s="87"/>
      <c r="AC2336" s="116"/>
      <c r="AD2336" s="116"/>
      <c r="AE2336" s="116"/>
      <c r="AF2336" s="116"/>
      <c r="AG2336" s="116"/>
      <c r="AH2336" s="116"/>
      <c r="AI2336" s="116"/>
    </row>
    <row r="2337" spans="27:35" ht="18">
      <c r="AA2337" s="116"/>
      <c r="AB2337" s="87"/>
      <c r="AC2337" s="116"/>
      <c r="AD2337" s="116"/>
      <c r="AE2337" s="116"/>
      <c r="AF2337" s="116"/>
      <c r="AG2337" s="116"/>
      <c r="AH2337" s="116"/>
      <c r="AI2337" s="116"/>
    </row>
    <row r="2338" spans="27:35" ht="18">
      <c r="AA2338" s="116"/>
      <c r="AB2338" s="184"/>
      <c r="AC2338" s="116"/>
      <c r="AD2338" s="116"/>
      <c r="AE2338" s="116"/>
      <c r="AF2338" s="116"/>
      <c r="AG2338" s="116"/>
      <c r="AH2338" s="116"/>
      <c r="AI2338" s="116"/>
    </row>
    <row r="2339" spans="27:35" ht="18">
      <c r="AA2339" s="116"/>
      <c r="AB2339" s="184"/>
      <c r="AC2339" s="116"/>
      <c r="AD2339" s="116"/>
      <c r="AE2339" s="116"/>
      <c r="AF2339" s="116"/>
      <c r="AG2339" s="116"/>
      <c r="AH2339" s="116"/>
      <c r="AI2339" s="116"/>
    </row>
    <row r="2340" spans="27:35" ht="18">
      <c r="AA2340" s="116"/>
      <c r="AB2340" s="87"/>
      <c r="AC2340" s="116"/>
      <c r="AD2340" s="116"/>
      <c r="AE2340" s="116"/>
      <c r="AF2340" s="116"/>
      <c r="AG2340" s="116"/>
      <c r="AH2340" s="116"/>
      <c r="AI2340" s="116"/>
    </row>
    <row r="2341" spans="27:35" ht="18">
      <c r="AA2341" s="116"/>
      <c r="AB2341" s="87"/>
      <c r="AC2341" s="116"/>
      <c r="AD2341" s="116"/>
      <c r="AE2341" s="116"/>
      <c r="AF2341" s="116"/>
      <c r="AG2341" s="116"/>
      <c r="AH2341" s="116"/>
      <c r="AI2341" s="116"/>
    </row>
    <row r="2342" spans="27:35" ht="18">
      <c r="AA2342" s="116"/>
      <c r="AB2342" s="87"/>
      <c r="AC2342" s="116"/>
      <c r="AD2342" s="116"/>
      <c r="AE2342" s="116"/>
      <c r="AF2342" s="116"/>
      <c r="AG2342" s="116"/>
      <c r="AH2342" s="116"/>
      <c r="AI2342" s="116"/>
    </row>
    <row r="2343" spans="27:35" ht="18">
      <c r="AA2343" s="116"/>
      <c r="AB2343" s="87"/>
      <c r="AC2343" s="116"/>
      <c r="AD2343" s="116"/>
      <c r="AE2343" s="116"/>
      <c r="AF2343" s="116"/>
      <c r="AG2343" s="116"/>
      <c r="AH2343" s="116"/>
      <c r="AI2343" s="116"/>
    </row>
    <row r="2344" spans="27:35" ht="18">
      <c r="AA2344" s="116"/>
      <c r="AB2344" s="87"/>
      <c r="AC2344" s="116"/>
      <c r="AD2344" s="116"/>
      <c r="AE2344" s="116"/>
      <c r="AF2344" s="116"/>
      <c r="AG2344" s="116"/>
      <c r="AH2344" s="116"/>
      <c r="AI2344" s="116"/>
    </row>
    <row r="2345" spans="27:35" ht="18">
      <c r="AA2345" s="116"/>
      <c r="AB2345" s="87"/>
      <c r="AC2345" s="116"/>
      <c r="AD2345" s="116"/>
      <c r="AE2345" s="116"/>
      <c r="AF2345" s="116"/>
      <c r="AG2345" s="116"/>
      <c r="AH2345" s="116"/>
      <c r="AI2345" s="116"/>
    </row>
    <row r="2346" spans="27:35" ht="18">
      <c r="AA2346" s="116"/>
      <c r="AB2346" s="87"/>
      <c r="AC2346" s="116"/>
      <c r="AD2346" s="116"/>
      <c r="AE2346" s="116"/>
      <c r="AF2346" s="116"/>
      <c r="AG2346" s="116"/>
      <c r="AH2346" s="116"/>
      <c r="AI2346" s="116"/>
    </row>
    <row r="2347" spans="27:35" ht="18">
      <c r="AA2347" s="116"/>
      <c r="AB2347" s="87"/>
      <c r="AC2347" s="116"/>
      <c r="AD2347" s="116"/>
      <c r="AE2347" s="116"/>
      <c r="AF2347" s="116"/>
      <c r="AG2347" s="116"/>
      <c r="AH2347" s="116"/>
      <c r="AI2347" s="116"/>
    </row>
    <row r="2348" spans="27:35" ht="18">
      <c r="AA2348" s="116"/>
      <c r="AB2348" s="184"/>
      <c r="AC2348" s="116"/>
      <c r="AD2348" s="116"/>
      <c r="AE2348" s="116"/>
      <c r="AF2348" s="116"/>
      <c r="AG2348" s="116"/>
      <c r="AH2348" s="116"/>
      <c r="AI2348" s="116"/>
    </row>
    <row r="2349" spans="27:35" ht="18">
      <c r="AA2349" s="116"/>
      <c r="AB2349" s="184"/>
      <c r="AC2349" s="116"/>
      <c r="AD2349" s="116"/>
      <c r="AE2349" s="116"/>
      <c r="AF2349" s="116"/>
      <c r="AG2349" s="116"/>
      <c r="AH2349" s="116"/>
      <c r="AI2349" s="116"/>
    </row>
    <row r="2350" spans="27:35" ht="18">
      <c r="AA2350" s="116"/>
      <c r="AB2350" s="87"/>
      <c r="AC2350" s="116"/>
      <c r="AD2350" s="116"/>
      <c r="AE2350" s="116"/>
      <c r="AF2350" s="116"/>
      <c r="AG2350" s="116"/>
      <c r="AH2350" s="116"/>
      <c r="AI2350" s="116"/>
    </row>
    <row r="2351" spans="27:35" ht="18">
      <c r="AA2351" s="116"/>
      <c r="AB2351" s="87"/>
      <c r="AC2351" s="116"/>
      <c r="AD2351" s="116"/>
      <c r="AE2351" s="116"/>
      <c r="AF2351" s="116"/>
      <c r="AG2351" s="116"/>
      <c r="AH2351" s="116"/>
      <c r="AI2351" s="116"/>
    </row>
    <row r="2352" spans="27:35" ht="18">
      <c r="AA2352" s="116"/>
      <c r="AB2352" s="87"/>
      <c r="AC2352" s="116"/>
      <c r="AD2352" s="116"/>
      <c r="AE2352" s="116"/>
      <c r="AF2352" s="116"/>
      <c r="AG2352" s="116"/>
      <c r="AH2352" s="116"/>
      <c r="AI2352" s="116"/>
    </row>
    <row r="2353" spans="27:35" ht="18">
      <c r="AA2353" s="116"/>
      <c r="AB2353" s="87"/>
      <c r="AC2353" s="116"/>
      <c r="AD2353" s="116"/>
      <c r="AE2353" s="116"/>
      <c r="AF2353" s="116"/>
      <c r="AG2353" s="116"/>
      <c r="AH2353" s="116"/>
      <c r="AI2353" s="116"/>
    </row>
    <row r="2354" spans="27:35" ht="18">
      <c r="AA2354" s="116"/>
      <c r="AB2354" s="87"/>
      <c r="AC2354" s="116"/>
      <c r="AD2354" s="116"/>
      <c r="AE2354" s="116"/>
      <c r="AF2354" s="116"/>
      <c r="AG2354" s="116"/>
      <c r="AH2354" s="116"/>
      <c r="AI2354" s="116"/>
    </row>
    <row r="2355" spans="27:35" ht="18">
      <c r="AA2355" s="116"/>
      <c r="AB2355" s="87"/>
      <c r="AC2355" s="116"/>
      <c r="AD2355" s="116"/>
      <c r="AE2355" s="116"/>
      <c r="AF2355" s="116"/>
      <c r="AG2355" s="116"/>
      <c r="AH2355" s="116"/>
      <c r="AI2355" s="116"/>
    </row>
    <row r="2356" spans="27:35" ht="18">
      <c r="AA2356" s="116"/>
      <c r="AB2356" s="184"/>
      <c r="AC2356" s="116"/>
      <c r="AD2356" s="116"/>
      <c r="AE2356" s="116"/>
      <c r="AF2356" s="116"/>
      <c r="AG2356" s="116"/>
      <c r="AH2356" s="116"/>
      <c r="AI2356" s="116"/>
    </row>
    <row r="2357" spans="27:35" ht="18">
      <c r="AA2357" s="116"/>
      <c r="AB2357" s="87"/>
      <c r="AC2357" s="116"/>
      <c r="AD2357" s="116"/>
      <c r="AE2357" s="116"/>
      <c r="AF2357" s="116"/>
      <c r="AG2357" s="116"/>
      <c r="AH2357" s="116"/>
      <c r="AI2357" s="116"/>
    </row>
    <row r="2358" spans="27:35" ht="18">
      <c r="AA2358" s="116"/>
      <c r="AB2358" s="87"/>
      <c r="AC2358" s="116"/>
      <c r="AD2358" s="116"/>
      <c r="AE2358" s="116"/>
      <c r="AF2358" s="116"/>
      <c r="AG2358" s="116"/>
      <c r="AH2358" s="116"/>
      <c r="AI2358" s="116"/>
    </row>
    <row r="2359" spans="27:35" ht="18">
      <c r="AA2359" s="116"/>
      <c r="AB2359" s="87"/>
      <c r="AC2359" s="116"/>
      <c r="AD2359" s="116"/>
      <c r="AE2359" s="116"/>
      <c r="AF2359" s="116"/>
      <c r="AG2359" s="116"/>
      <c r="AH2359" s="116"/>
      <c r="AI2359" s="116"/>
    </row>
    <row r="2360" spans="27:35" ht="18">
      <c r="AA2360" s="116"/>
      <c r="AB2360" s="87"/>
      <c r="AC2360" s="116"/>
      <c r="AD2360" s="116"/>
      <c r="AE2360" s="116"/>
      <c r="AF2360" s="116"/>
      <c r="AG2360" s="116"/>
      <c r="AH2360" s="116"/>
      <c r="AI2360" s="116"/>
    </row>
    <row r="2361" spans="27:35" ht="18">
      <c r="AA2361" s="116"/>
      <c r="AB2361" s="87"/>
      <c r="AC2361" s="116"/>
      <c r="AD2361" s="116"/>
      <c r="AE2361" s="116"/>
      <c r="AF2361" s="116"/>
      <c r="AG2361" s="116"/>
      <c r="AH2361" s="116"/>
      <c r="AI2361" s="116"/>
    </row>
    <row r="2362" spans="27:35" ht="18">
      <c r="AA2362" s="116"/>
      <c r="AB2362" s="87"/>
      <c r="AC2362" s="116"/>
      <c r="AD2362" s="116"/>
      <c r="AE2362" s="116"/>
      <c r="AF2362" s="116"/>
      <c r="AG2362" s="116"/>
      <c r="AH2362" s="116"/>
      <c r="AI2362" s="116"/>
    </row>
    <row r="2363" spans="27:35" ht="18">
      <c r="AA2363" s="116"/>
      <c r="AB2363" s="184"/>
      <c r="AC2363" s="116"/>
      <c r="AD2363" s="116"/>
      <c r="AE2363" s="116"/>
      <c r="AF2363" s="116"/>
      <c r="AG2363" s="116"/>
      <c r="AH2363" s="116"/>
      <c r="AI2363" s="116"/>
    </row>
    <row r="2364" spans="27:35" ht="18">
      <c r="AA2364" s="116"/>
      <c r="AB2364" s="184"/>
      <c r="AC2364" s="116"/>
      <c r="AD2364" s="116"/>
      <c r="AE2364" s="116"/>
      <c r="AF2364" s="116"/>
      <c r="AG2364" s="116"/>
      <c r="AH2364" s="116"/>
      <c r="AI2364" s="116"/>
    </row>
    <row r="2365" spans="27:35" ht="18">
      <c r="AA2365" s="116"/>
      <c r="AB2365" s="87"/>
      <c r="AC2365" s="116"/>
      <c r="AD2365" s="116"/>
      <c r="AE2365" s="116"/>
      <c r="AF2365" s="116"/>
      <c r="AG2365" s="116"/>
      <c r="AH2365" s="116"/>
      <c r="AI2365" s="116"/>
    </row>
    <row r="2366" spans="27:35" ht="18">
      <c r="AA2366" s="116"/>
      <c r="AB2366" s="87"/>
      <c r="AC2366" s="116"/>
      <c r="AD2366" s="116"/>
      <c r="AE2366" s="116"/>
      <c r="AF2366" s="116"/>
      <c r="AG2366" s="116"/>
      <c r="AH2366" s="116"/>
      <c r="AI2366" s="116"/>
    </row>
    <row r="2367" spans="27:35" ht="18">
      <c r="AA2367" s="116"/>
      <c r="AB2367" s="87"/>
      <c r="AC2367" s="116"/>
      <c r="AD2367" s="116"/>
      <c r="AE2367" s="116"/>
      <c r="AF2367" s="116"/>
      <c r="AG2367" s="116"/>
      <c r="AH2367" s="116"/>
      <c r="AI2367" s="116"/>
    </row>
    <row r="2368" spans="27:35" ht="18">
      <c r="AA2368" s="116"/>
      <c r="AB2368" s="87"/>
      <c r="AC2368" s="116"/>
      <c r="AD2368" s="116"/>
      <c r="AE2368" s="116"/>
      <c r="AF2368" s="116"/>
      <c r="AG2368" s="116"/>
      <c r="AH2368" s="116"/>
      <c r="AI2368" s="116"/>
    </row>
    <row r="2369" spans="27:35" ht="18">
      <c r="AA2369" s="116"/>
      <c r="AB2369" s="184"/>
      <c r="AC2369" s="116"/>
      <c r="AD2369" s="116"/>
      <c r="AE2369" s="116"/>
      <c r="AF2369" s="116"/>
      <c r="AG2369" s="116"/>
      <c r="AH2369" s="116"/>
      <c r="AI2369" s="116"/>
    </row>
    <row r="2370" spans="27:35" ht="18">
      <c r="AA2370" s="116"/>
      <c r="AB2370" s="184"/>
      <c r="AC2370" s="116"/>
      <c r="AD2370" s="116"/>
      <c r="AE2370" s="116"/>
      <c r="AF2370" s="116"/>
      <c r="AG2370" s="116"/>
      <c r="AH2370" s="116"/>
      <c r="AI2370" s="116"/>
    </row>
    <row r="2371" spans="27:35" ht="18">
      <c r="AA2371" s="116"/>
      <c r="AB2371" s="87"/>
      <c r="AC2371" s="116"/>
      <c r="AD2371" s="116"/>
      <c r="AE2371" s="116"/>
      <c r="AF2371" s="116"/>
      <c r="AG2371" s="116"/>
      <c r="AH2371" s="116"/>
      <c r="AI2371" s="116"/>
    </row>
    <row r="2372" spans="27:35" ht="18">
      <c r="AA2372" s="116"/>
      <c r="AB2372" s="87"/>
      <c r="AC2372" s="116"/>
      <c r="AD2372" s="116"/>
      <c r="AE2372" s="116"/>
      <c r="AF2372" s="116"/>
      <c r="AG2372" s="116"/>
      <c r="AH2372" s="116"/>
      <c r="AI2372" s="116"/>
    </row>
    <row r="2373" spans="27:35" ht="18">
      <c r="AA2373" s="116"/>
      <c r="AB2373" s="87"/>
      <c r="AC2373" s="116"/>
      <c r="AD2373" s="116"/>
      <c r="AE2373" s="116"/>
      <c r="AF2373" s="116"/>
      <c r="AG2373" s="116"/>
      <c r="AH2373" s="116"/>
      <c r="AI2373" s="116"/>
    </row>
    <row r="2374" spans="27:35" ht="18">
      <c r="AA2374" s="116"/>
      <c r="AB2374" s="87"/>
      <c r="AC2374" s="116"/>
      <c r="AD2374" s="116"/>
      <c r="AE2374" s="116"/>
      <c r="AF2374" s="116"/>
      <c r="AG2374" s="116"/>
      <c r="AH2374" s="116"/>
      <c r="AI2374" s="116"/>
    </row>
    <row r="2375" spans="27:35" ht="18">
      <c r="AA2375" s="116"/>
      <c r="AB2375" s="87"/>
      <c r="AC2375" s="116"/>
      <c r="AD2375" s="116"/>
      <c r="AE2375" s="116"/>
      <c r="AF2375" s="116"/>
      <c r="AG2375" s="116"/>
      <c r="AH2375" s="116"/>
      <c r="AI2375" s="116"/>
    </row>
    <row r="2376" spans="27:35" ht="18">
      <c r="AA2376" s="116"/>
      <c r="AB2376" s="87"/>
      <c r="AC2376" s="116"/>
      <c r="AD2376" s="116"/>
      <c r="AE2376" s="116"/>
      <c r="AF2376" s="116"/>
      <c r="AG2376" s="116"/>
      <c r="AH2376" s="116"/>
      <c r="AI2376" s="116"/>
    </row>
    <row r="2377" spans="27:35" ht="18">
      <c r="AA2377" s="116"/>
      <c r="AB2377" s="87"/>
      <c r="AC2377" s="116"/>
      <c r="AD2377" s="116"/>
      <c r="AE2377" s="116"/>
      <c r="AF2377" s="116"/>
      <c r="AG2377" s="116"/>
      <c r="AH2377" s="116"/>
      <c r="AI2377" s="116"/>
    </row>
    <row r="2378" spans="27:35" ht="18">
      <c r="AA2378" s="116"/>
      <c r="AB2378" s="87"/>
      <c r="AC2378" s="116"/>
      <c r="AD2378" s="116"/>
      <c r="AE2378" s="116"/>
      <c r="AF2378" s="116"/>
      <c r="AG2378" s="116"/>
      <c r="AH2378" s="116"/>
      <c r="AI2378" s="116"/>
    </row>
    <row r="2379" spans="27:35" ht="18">
      <c r="AA2379" s="116"/>
      <c r="AB2379" s="87"/>
      <c r="AC2379" s="116"/>
      <c r="AD2379" s="116"/>
      <c r="AE2379" s="116"/>
      <c r="AF2379" s="116"/>
      <c r="AG2379" s="116"/>
      <c r="AH2379" s="116"/>
      <c r="AI2379" s="116"/>
    </row>
    <row r="2380" spans="27:35" ht="18">
      <c r="AA2380" s="116"/>
      <c r="AB2380" s="87"/>
      <c r="AC2380" s="116"/>
      <c r="AD2380" s="116"/>
      <c r="AE2380" s="116"/>
      <c r="AF2380" s="116"/>
      <c r="AG2380" s="116"/>
      <c r="AH2380" s="116"/>
      <c r="AI2380" s="116"/>
    </row>
    <row r="2381" spans="27:35" ht="18">
      <c r="AA2381" s="116"/>
      <c r="AB2381" s="184"/>
      <c r="AC2381" s="116"/>
      <c r="AD2381" s="116"/>
      <c r="AE2381" s="116"/>
      <c r="AF2381" s="116"/>
      <c r="AG2381" s="116"/>
      <c r="AH2381" s="116"/>
      <c r="AI2381" s="116"/>
    </row>
    <row r="2382" spans="27:35" ht="18">
      <c r="AA2382" s="116"/>
      <c r="AB2382" s="184"/>
      <c r="AC2382" s="116"/>
      <c r="AD2382" s="116"/>
      <c r="AE2382" s="116"/>
      <c r="AF2382" s="116"/>
      <c r="AG2382" s="116"/>
      <c r="AH2382" s="116"/>
      <c r="AI2382" s="116"/>
    </row>
    <row r="2383" spans="27:35" ht="18">
      <c r="AA2383" s="116"/>
      <c r="AB2383" s="87"/>
      <c r="AC2383" s="116"/>
      <c r="AD2383" s="116"/>
      <c r="AE2383" s="116"/>
      <c r="AF2383" s="116"/>
      <c r="AG2383" s="116"/>
      <c r="AH2383" s="116"/>
      <c r="AI2383" s="116"/>
    </row>
    <row r="2384" spans="27:35" ht="18">
      <c r="AA2384" s="116"/>
      <c r="AB2384" s="87"/>
      <c r="AC2384" s="116"/>
      <c r="AD2384" s="116"/>
      <c r="AE2384" s="116"/>
      <c r="AF2384" s="116"/>
      <c r="AG2384" s="116"/>
      <c r="AH2384" s="116"/>
      <c r="AI2384" s="116"/>
    </row>
    <row r="2385" spans="27:35" ht="18">
      <c r="AA2385" s="116"/>
      <c r="AB2385" s="87"/>
      <c r="AC2385" s="116"/>
      <c r="AD2385" s="116"/>
      <c r="AE2385" s="116"/>
      <c r="AF2385" s="116"/>
      <c r="AG2385" s="116"/>
      <c r="AH2385" s="116"/>
      <c r="AI2385" s="116"/>
    </row>
    <row r="2386" spans="27:35" ht="18">
      <c r="AA2386" s="116"/>
      <c r="AB2386" s="184"/>
      <c r="AC2386" s="116"/>
      <c r="AD2386" s="116"/>
      <c r="AE2386" s="116"/>
      <c r="AF2386" s="116"/>
      <c r="AG2386" s="116"/>
      <c r="AH2386" s="116"/>
      <c r="AI2386" s="116"/>
    </row>
    <row r="2387" spans="27:35" ht="18">
      <c r="AA2387" s="116"/>
      <c r="AB2387" s="184"/>
      <c r="AC2387" s="116"/>
      <c r="AD2387" s="116"/>
      <c r="AE2387" s="116"/>
      <c r="AF2387" s="116"/>
      <c r="AG2387" s="116"/>
      <c r="AH2387" s="116"/>
      <c r="AI2387" s="116"/>
    </row>
    <row r="2388" spans="27:35" ht="18">
      <c r="AA2388" s="116"/>
      <c r="AB2388" s="87"/>
      <c r="AC2388" s="116"/>
      <c r="AD2388" s="116"/>
      <c r="AE2388" s="116"/>
      <c r="AF2388" s="116"/>
      <c r="AG2388" s="116"/>
      <c r="AH2388" s="116"/>
      <c r="AI2388" s="116"/>
    </row>
    <row r="2389" spans="27:35" ht="18">
      <c r="AA2389" s="116"/>
      <c r="AB2389" s="87"/>
      <c r="AC2389" s="116"/>
      <c r="AD2389" s="116"/>
      <c r="AE2389" s="116"/>
      <c r="AF2389" s="116"/>
      <c r="AG2389" s="116"/>
      <c r="AH2389" s="116"/>
      <c r="AI2389" s="116"/>
    </row>
    <row r="2390" spans="27:35" ht="18">
      <c r="AA2390" s="116"/>
      <c r="AB2390" s="87"/>
      <c r="AC2390" s="116"/>
      <c r="AD2390" s="116"/>
      <c r="AE2390" s="116"/>
      <c r="AF2390" s="116"/>
      <c r="AG2390" s="116"/>
      <c r="AH2390" s="116"/>
      <c r="AI2390" s="116"/>
    </row>
    <row r="2391" spans="27:35" ht="18">
      <c r="AA2391" s="116"/>
      <c r="AB2391" s="87"/>
      <c r="AC2391" s="116"/>
      <c r="AD2391" s="116"/>
      <c r="AE2391" s="116"/>
      <c r="AF2391" s="116"/>
      <c r="AG2391" s="116"/>
      <c r="AH2391" s="116"/>
      <c r="AI2391" s="116"/>
    </row>
    <row r="2392" spans="27:35" ht="18">
      <c r="AA2392" s="116"/>
      <c r="AB2392" s="87"/>
      <c r="AC2392" s="116"/>
      <c r="AD2392" s="116"/>
      <c r="AE2392" s="116"/>
      <c r="AF2392" s="116"/>
      <c r="AG2392" s="116"/>
      <c r="AH2392" s="116"/>
      <c r="AI2392" s="116"/>
    </row>
    <row r="2393" spans="27:35" ht="18">
      <c r="AA2393" s="116"/>
      <c r="AB2393" s="87"/>
      <c r="AC2393" s="116"/>
      <c r="AD2393" s="116"/>
      <c r="AE2393" s="116"/>
      <c r="AF2393" s="116"/>
      <c r="AG2393" s="116"/>
      <c r="AH2393" s="116"/>
      <c r="AI2393" s="116"/>
    </row>
    <row r="2394" spans="27:35" ht="18">
      <c r="AA2394" s="116"/>
      <c r="AB2394" s="87"/>
      <c r="AC2394" s="116"/>
      <c r="AD2394" s="116"/>
      <c r="AE2394" s="116"/>
      <c r="AF2394" s="116"/>
      <c r="AG2394" s="116"/>
      <c r="AH2394" s="116"/>
      <c r="AI2394" s="116"/>
    </row>
    <row r="2395" spans="27:35" ht="18">
      <c r="AA2395" s="116"/>
      <c r="AB2395" s="87"/>
      <c r="AC2395" s="116"/>
      <c r="AD2395" s="116"/>
      <c r="AE2395" s="116"/>
      <c r="AF2395" s="116"/>
      <c r="AG2395" s="116"/>
      <c r="AH2395" s="116"/>
      <c r="AI2395" s="116"/>
    </row>
    <row r="2396" spans="27:35" ht="18">
      <c r="AA2396" s="116"/>
      <c r="AB2396" s="87"/>
      <c r="AC2396" s="116"/>
      <c r="AD2396" s="116"/>
      <c r="AE2396" s="116"/>
      <c r="AF2396" s="116"/>
      <c r="AG2396" s="116"/>
      <c r="AH2396" s="116"/>
      <c r="AI2396" s="116"/>
    </row>
    <row r="2397" spans="27:35" ht="18">
      <c r="AA2397" s="116"/>
      <c r="AB2397" s="87"/>
      <c r="AC2397" s="116"/>
      <c r="AD2397" s="116"/>
      <c r="AE2397" s="116"/>
      <c r="AF2397" s="116"/>
      <c r="AG2397" s="116"/>
      <c r="AH2397" s="116"/>
      <c r="AI2397" s="116"/>
    </row>
    <row r="2398" spans="27:35" ht="18">
      <c r="AA2398" s="116"/>
      <c r="AB2398" s="87"/>
      <c r="AC2398" s="116"/>
      <c r="AD2398" s="116"/>
      <c r="AE2398" s="116"/>
      <c r="AF2398" s="116"/>
      <c r="AG2398" s="116"/>
      <c r="AH2398" s="116"/>
      <c r="AI2398" s="116"/>
    </row>
    <row r="2399" spans="27:35" ht="18">
      <c r="AA2399" s="116"/>
      <c r="AB2399" s="87"/>
      <c r="AC2399" s="116"/>
      <c r="AD2399" s="116"/>
      <c r="AE2399" s="116"/>
      <c r="AF2399" s="116"/>
      <c r="AG2399" s="116"/>
      <c r="AH2399" s="116"/>
      <c r="AI2399" s="116"/>
    </row>
    <row r="2400" spans="27:35" ht="18">
      <c r="AA2400" s="116"/>
      <c r="AB2400" s="87"/>
      <c r="AC2400" s="116"/>
      <c r="AD2400" s="116"/>
      <c r="AE2400" s="116"/>
      <c r="AF2400" s="116"/>
      <c r="AG2400" s="116"/>
      <c r="AH2400" s="116"/>
      <c r="AI2400" s="116"/>
    </row>
    <row r="2401" spans="27:35" ht="18">
      <c r="AA2401" s="116"/>
      <c r="AB2401" s="87"/>
      <c r="AC2401" s="116"/>
      <c r="AD2401" s="116"/>
      <c r="AE2401" s="116"/>
      <c r="AF2401" s="116"/>
      <c r="AG2401" s="116"/>
      <c r="AH2401" s="116"/>
      <c r="AI2401" s="116"/>
    </row>
    <row r="2402" spans="27:35" ht="18">
      <c r="AA2402" s="116"/>
      <c r="AB2402" s="87"/>
      <c r="AC2402" s="116"/>
      <c r="AD2402" s="116"/>
      <c r="AE2402" s="116"/>
      <c r="AF2402" s="116"/>
      <c r="AG2402" s="116"/>
      <c r="AH2402" s="116"/>
      <c r="AI2402" s="116"/>
    </row>
    <row r="2403" spans="27:35" ht="18">
      <c r="AA2403" s="116"/>
      <c r="AB2403" s="87"/>
      <c r="AC2403" s="116"/>
      <c r="AD2403" s="116"/>
      <c r="AE2403" s="116"/>
      <c r="AF2403" s="116"/>
      <c r="AG2403" s="116"/>
      <c r="AH2403" s="116"/>
      <c r="AI2403" s="116"/>
    </row>
    <row r="2404" spans="27:35" ht="18">
      <c r="AA2404" s="116"/>
      <c r="AB2404" s="87"/>
      <c r="AC2404" s="116"/>
      <c r="AD2404" s="116"/>
      <c r="AE2404" s="116"/>
      <c r="AF2404" s="116"/>
      <c r="AG2404" s="116"/>
      <c r="AH2404" s="116"/>
      <c r="AI2404" s="116"/>
    </row>
    <row r="2405" spans="27:35" ht="18">
      <c r="AA2405" s="116"/>
      <c r="AB2405" s="87"/>
      <c r="AC2405" s="116"/>
      <c r="AD2405" s="116"/>
      <c r="AE2405" s="116"/>
      <c r="AF2405" s="116"/>
      <c r="AG2405" s="116"/>
      <c r="AH2405" s="116"/>
      <c r="AI2405" s="116"/>
    </row>
    <row r="2406" spans="27:35" ht="18">
      <c r="AA2406" s="116"/>
      <c r="AB2406" s="87"/>
      <c r="AC2406" s="116"/>
      <c r="AD2406" s="116"/>
      <c r="AE2406" s="116"/>
      <c r="AF2406" s="116"/>
      <c r="AG2406" s="116"/>
      <c r="AH2406" s="116"/>
      <c r="AI2406" s="116"/>
    </row>
    <row r="2407" spans="27:35" ht="18">
      <c r="AA2407" s="116"/>
      <c r="AB2407" s="87"/>
      <c r="AC2407" s="116"/>
      <c r="AD2407" s="116"/>
      <c r="AE2407" s="116"/>
      <c r="AF2407" s="116"/>
      <c r="AG2407" s="116"/>
      <c r="AH2407" s="116"/>
      <c r="AI2407" s="116"/>
    </row>
    <row r="2408" spans="27:35" ht="18">
      <c r="AA2408" s="116"/>
      <c r="AB2408" s="87"/>
      <c r="AC2408" s="116"/>
      <c r="AD2408" s="116"/>
      <c r="AE2408" s="116"/>
      <c r="AF2408" s="116"/>
      <c r="AG2408" s="116"/>
      <c r="AH2408" s="116"/>
      <c r="AI2408" s="116"/>
    </row>
    <row r="2409" spans="27:35" ht="18">
      <c r="AA2409" s="116"/>
      <c r="AB2409" s="87"/>
      <c r="AC2409" s="116"/>
      <c r="AD2409" s="116"/>
      <c r="AE2409" s="116"/>
      <c r="AF2409" s="116"/>
      <c r="AG2409" s="116"/>
      <c r="AH2409" s="116"/>
      <c r="AI2409" s="116"/>
    </row>
    <row r="2410" spans="27:35" ht="18">
      <c r="AA2410" s="116"/>
      <c r="AB2410" s="87"/>
      <c r="AC2410" s="116"/>
      <c r="AD2410" s="116"/>
      <c r="AE2410" s="116"/>
      <c r="AF2410" s="116"/>
      <c r="AG2410" s="116"/>
      <c r="AH2410" s="116"/>
      <c r="AI2410" s="116"/>
    </row>
    <row r="2411" spans="27:35" ht="18">
      <c r="AA2411" s="116"/>
      <c r="AB2411" s="87"/>
      <c r="AC2411" s="116"/>
      <c r="AD2411" s="116"/>
      <c r="AE2411" s="116"/>
      <c r="AF2411" s="116"/>
      <c r="AG2411" s="116"/>
      <c r="AH2411" s="116"/>
      <c r="AI2411" s="116"/>
    </row>
    <row r="2412" spans="27:35" ht="18">
      <c r="AA2412" s="116"/>
      <c r="AB2412" s="87"/>
      <c r="AC2412" s="116"/>
      <c r="AD2412" s="116"/>
      <c r="AE2412" s="116"/>
      <c r="AF2412" s="116"/>
      <c r="AG2412" s="116"/>
      <c r="AH2412" s="116"/>
      <c r="AI2412" s="116"/>
    </row>
    <row r="2413" spans="27:35" ht="18">
      <c r="AA2413" s="116"/>
      <c r="AB2413" s="87"/>
      <c r="AC2413" s="116"/>
      <c r="AD2413" s="116"/>
      <c r="AE2413" s="116"/>
      <c r="AF2413" s="116"/>
      <c r="AG2413" s="116"/>
      <c r="AH2413" s="116"/>
      <c r="AI2413" s="116"/>
    </row>
    <row r="2414" spans="27:35" ht="18">
      <c r="AA2414" s="116"/>
      <c r="AB2414" s="87"/>
      <c r="AC2414" s="116"/>
      <c r="AD2414" s="116"/>
      <c r="AE2414" s="116"/>
      <c r="AF2414" s="116"/>
      <c r="AG2414" s="116"/>
      <c r="AH2414" s="116"/>
      <c r="AI2414" s="116"/>
    </row>
    <row r="2415" spans="27:35" ht="18">
      <c r="AA2415" s="116"/>
      <c r="AB2415" s="184"/>
      <c r="AC2415" s="116"/>
      <c r="AD2415" s="116"/>
      <c r="AE2415" s="116"/>
      <c r="AF2415" s="116"/>
      <c r="AG2415" s="116"/>
      <c r="AH2415" s="116"/>
      <c r="AI2415" s="116"/>
    </row>
    <row r="2416" spans="27:35" ht="18">
      <c r="AA2416" s="116"/>
      <c r="AB2416" s="184"/>
      <c r="AC2416" s="116"/>
      <c r="AD2416" s="116"/>
      <c r="AE2416" s="116"/>
      <c r="AF2416" s="116"/>
      <c r="AG2416" s="116"/>
      <c r="AH2416" s="116"/>
      <c r="AI2416" s="116"/>
    </row>
    <row r="2417" spans="27:35" ht="18">
      <c r="AA2417" s="116"/>
      <c r="AB2417" s="87"/>
      <c r="AC2417" s="116"/>
      <c r="AD2417" s="116"/>
      <c r="AE2417" s="116"/>
      <c r="AF2417" s="116"/>
      <c r="AG2417" s="116"/>
      <c r="AH2417" s="116"/>
      <c r="AI2417" s="116"/>
    </row>
    <row r="2418" spans="27:35" ht="18">
      <c r="AA2418" s="116"/>
      <c r="AB2418" s="87"/>
      <c r="AC2418" s="116"/>
      <c r="AD2418" s="116"/>
      <c r="AE2418" s="116"/>
      <c r="AF2418" s="116"/>
      <c r="AG2418" s="116"/>
      <c r="AH2418" s="116"/>
      <c r="AI2418" s="116"/>
    </row>
    <row r="2419" spans="27:35" ht="18">
      <c r="AA2419" s="116"/>
      <c r="AB2419" s="87"/>
      <c r="AC2419" s="116"/>
      <c r="AD2419" s="116"/>
      <c r="AE2419" s="116"/>
      <c r="AF2419" s="116"/>
      <c r="AG2419" s="116"/>
      <c r="AH2419" s="116"/>
      <c r="AI2419" s="116"/>
    </row>
    <row r="2420" spans="27:35" ht="18">
      <c r="AA2420" s="116"/>
      <c r="AB2420" s="87"/>
      <c r="AC2420" s="116"/>
      <c r="AD2420" s="116"/>
      <c r="AE2420" s="116"/>
      <c r="AF2420" s="116"/>
      <c r="AG2420" s="116"/>
      <c r="AH2420" s="116"/>
      <c r="AI2420" s="116"/>
    </row>
    <row r="2421" spans="27:35" ht="18">
      <c r="AA2421" s="116"/>
      <c r="AB2421" s="87"/>
      <c r="AC2421" s="116"/>
      <c r="AD2421" s="116"/>
      <c r="AE2421" s="116"/>
      <c r="AF2421" s="116"/>
      <c r="AG2421" s="116"/>
      <c r="AH2421" s="116"/>
      <c r="AI2421" s="116"/>
    </row>
    <row r="2422" spans="27:35" ht="18">
      <c r="AA2422" s="116"/>
      <c r="AB2422" s="87"/>
      <c r="AC2422" s="116"/>
      <c r="AD2422" s="116"/>
      <c r="AE2422" s="116"/>
      <c r="AF2422" s="116"/>
      <c r="AG2422" s="116"/>
      <c r="AH2422" s="116"/>
      <c r="AI2422" s="116"/>
    </row>
    <row r="2423" spans="27:35" ht="18">
      <c r="AA2423" s="116"/>
      <c r="AB2423" s="184"/>
      <c r="AC2423" s="116"/>
      <c r="AD2423" s="116"/>
      <c r="AE2423" s="116"/>
      <c r="AF2423" s="116"/>
      <c r="AG2423" s="116"/>
      <c r="AH2423" s="116"/>
      <c r="AI2423" s="116"/>
    </row>
    <row r="2424" spans="27:35" ht="18">
      <c r="AA2424" s="116"/>
      <c r="AB2424" s="184"/>
      <c r="AC2424" s="116"/>
      <c r="AD2424" s="116"/>
      <c r="AE2424" s="116"/>
      <c r="AF2424" s="116"/>
      <c r="AG2424" s="116"/>
      <c r="AH2424" s="116"/>
      <c r="AI2424" s="116"/>
    </row>
    <row r="2425" spans="27:35" ht="18">
      <c r="AA2425" s="116"/>
      <c r="AB2425" s="87"/>
      <c r="AC2425" s="116"/>
      <c r="AD2425" s="116"/>
      <c r="AE2425" s="116"/>
      <c r="AF2425" s="116"/>
      <c r="AG2425" s="116"/>
      <c r="AH2425" s="116"/>
      <c r="AI2425" s="116"/>
    </row>
    <row r="2426" spans="27:35" ht="18">
      <c r="AA2426" s="116"/>
      <c r="AB2426" s="87"/>
      <c r="AC2426" s="116"/>
      <c r="AD2426" s="116"/>
      <c r="AE2426" s="116"/>
      <c r="AF2426" s="116"/>
      <c r="AG2426" s="116"/>
      <c r="AH2426" s="116"/>
      <c r="AI2426" s="116"/>
    </row>
    <row r="2427" spans="27:35" ht="18">
      <c r="AA2427" s="116"/>
      <c r="AB2427" s="87"/>
      <c r="AC2427" s="116"/>
      <c r="AD2427" s="116"/>
      <c r="AE2427" s="116"/>
      <c r="AF2427" s="116"/>
      <c r="AG2427" s="116"/>
      <c r="AH2427" s="116"/>
      <c r="AI2427" s="116"/>
    </row>
    <row r="2428" spans="27:35" ht="18">
      <c r="AA2428" s="116"/>
      <c r="AB2428" s="87"/>
      <c r="AC2428" s="116"/>
      <c r="AD2428" s="116"/>
      <c r="AE2428" s="116"/>
      <c r="AF2428" s="116"/>
      <c r="AG2428" s="116"/>
      <c r="AH2428" s="116"/>
      <c r="AI2428" s="116"/>
    </row>
    <row r="2429" spans="27:35" ht="18">
      <c r="AA2429" s="116"/>
      <c r="AB2429" s="87"/>
      <c r="AC2429" s="116"/>
      <c r="AD2429" s="116"/>
      <c r="AE2429" s="116"/>
      <c r="AF2429" s="116"/>
      <c r="AG2429" s="116"/>
      <c r="AH2429" s="116"/>
      <c r="AI2429" s="116"/>
    </row>
    <row r="2430" spans="27:35" ht="18">
      <c r="AA2430" s="116"/>
      <c r="AB2430" s="87"/>
      <c r="AC2430" s="116"/>
      <c r="AD2430" s="116"/>
      <c r="AE2430" s="116"/>
      <c r="AF2430" s="116"/>
      <c r="AG2430" s="116"/>
      <c r="AH2430" s="116"/>
      <c r="AI2430" s="116"/>
    </row>
    <row r="2431" spans="27:35" ht="18">
      <c r="AA2431" s="116"/>
      <c r="AB2431" s="87"/>
      <c r="AC2431" s="116"/>
      <c r="AD2431" s="116"/>
      <c r="AE2431" s="116"/>
      <c r="AF2431" s="116"/>
      <c r="AG2431" s="116"/>
      <c r="AH2431" s="116"/>
      <c r="AI2431" s="116"/>
    </row>
    <row r="2432" spans="27:35" ht="18">
      <c r="AA2432" s="116"/>
      <c r="AB2432" s="87"/>
      <c r="AC2432" s="116"/>
      <c r="AD2432" s="116"/>
      <c r="AE2432" s="116"/>
      <c r="AF2432" s="116"/>
      <c r="AG2432" s="116"/>
      <c r="AH2432" s="116"/>
      <c r="AI2432" s="116"/>
    </row>
    <row r="2433" spans="27:35" ht="18">
      <c r="AA2433" s="116"/>
      <c r="AB2433" s="87"/>
      <c r="AC2433" s="116"/>
      <c r="AD2433" s="116"/>
      <c r="AE2433" s="116"/>
      <c r="AF2433" s="116"/>
      <c r="AG2433" s="116"/>
      <c r="AH2433" s="116"/>
      <c r="AI2433" s="116"/>
    </row>
    <row r="2434" spans="27:35" ht="18">
      <c r="AA2434" s="116"/>
      <c r="AB2434" s="87"/>
      <c r="AC2434" s="116"/>
      <c r="AD2434" s="116"/>
      <c r="AE2434" s="116"/>
      <c r="AF2434" s="116"/>
      <c r="AG2434" s="116"/>
      <c r="AH2434" s="116"/>
      <c r="AI2434" s="116"/>
    </row>
    <row r="2435" spans="27:35" ht="18">
      <c r="AA2435" s="116"/>
      <c r="AB2435" s="184"/>
      <c r="AC2435" s="116"/>
      <c r="AD2435" s="116"/>
      <c r="AE2435" s="116"/>
      <c r="AF2435" s="116"/>
      <c r="AG2435" s="116"/>
      <c r="AH2435" s="116"/>
      <c r="AI2435" s="116"/>
    </row>
    <row r="2436" spans="27:35" ht="18">
      <c r="AA2436" s="116"/>
      <c r="AB2436" s="184"/>
      <c r="AC2436" s="116"/>
      <c r="AD2436" s="116"/>
      <c r="AE2436" s="116"/>
      <c r="AF2436" s="116"/>
      <c r="AG2436" s="116"/>
      <c r="AH2436" s="116"/>
      <c r="AI2436" s="116"/>
    </row>
    <row r="2437" spans="27:35" ht="18">
      <c r="AA2437" s="116"/>
      <c r="AB2437" s="87"/>
      <c r="AC2437" s="116"/>
      <c r="AD2437" s="116"/>
      <c r="AE2437" s="116"/>
      <c r="AF2437" s="116"/>
      <c r="AG2437" s="116"/>
      <c r="AH2437" s="116"/>
      <c r="AI2437" s="116"/>
    </row>
    <row r="2438" spans="27:35" ht="18">
      <c r="AA2438" s="116"/>
      <c r="AB2438" s="87"/>
      <c r="AC2438" s="116"/>
      <c r="AD2438" s="116"/>
      <c r="AE2438" s="116"/>
      <c r="AF2438" s="116"/>
      <c r="AG2438" s="116"/>
      <c r="AH2438" s="116"/>
      <c r="AI2438" s="116"/>
    </row>
    <row r="2439" spans="27:35" ht="18">
      <c r="AA2439" s="116"/>
      <c r="AB2439" s="87"/>
      <c r="AC2439" s="116"/>
      <c r="AD2439" s="116"/>
      <c r="AE2439" s="116"/>
      <c r="AF2439" s="116"/>
      <c r="AG2439" s="116"/>
      <c r="AH2439" s="116"/>
      <c r="AI2439" s="116"/>
    </row>
    <row r="2440" spans="27:35" ht="18">
      <c r="AA2440" s="116"/>
      <c r="AB2440" s="87"/>
      <c r="AC2440" s="116"/>
      <c r="AD2440" s="116"/>
      <c r="AE2440" s="116"/>
      <c r="AF2440" s="116"/>
      <c r="AG2440" s="116"/>
      <c r="AH2440" s="116"/>
      <c r="AI2440" s="116"/>
    </row>
    <row r="2441" spans="27:35" ht="18">
      <c r="AA2441" s="116"/>
      <c r="AB2441" s="87"/>
      <c r="AC2441" s="116"/>
      <c r="AD2441" s="116"/>
      <c r="AE2441" s="116"/>
      <c r="AF2441" s="116"/>
      <c r="AG2441" s="116"/>
      <c r="AH2441" s="116"/>
      <c r="AI2441" s="116"/>
    </row>
    <row r="2442" spans="27:35" ht="18">
      <c r="AA2442" s="116"/>
      <c r="AB2442" s="87"/>
      <c r="AC2442" s="116"/>
      <c r="AD2442" s="116"/>
      <c r="AE2442" s="116"/>
      <c r="AF2442" s="116"/>
      <c r="AG2442" s="116"/>
      <c r="AH2442" s="116"/>
      <c r="AI2442" s="116"/>
    </row>
    <row r="2443" spans="27:35" ht="18">
      <c r="AA2443" s="116"/>
      <c r="AB2443" s="87"/>
      <c r="AC2443" s="116"/>
      <c r="AD2443" s="116"/>
      <c r="AE2443" s="116"/>
      <c r="AF2443" s="116"/>
      <c r="AG2443" s="116"/>
      <c r="AH2443" s="116"/>
      <c r="AI2443" s="116"/>
    </row>
    <row r="2444" spans="27:35" ht="18">
      <c r="AA2444" s="116"/>
      <c r="AB2444" s="87"/>
      <c r="AC2444" s="116"/>
      <c r="AD2444" s="116"/>
      <c r="AE2444" s="116"/>
      <c r="AF2444" s="116"/>
      <c r="AG2444" s="116"/>
      <c r="AH2444" s="116"/>
      <c r="AI2444" s="116"/>
    </row>
    <row r="2445" spans="27:35" ht="18">
      <c r="AA2445" s="116"/>
      <c r="AB2445" s="87"/>
      <c r="AC2445" s="116"/>
      <c r="AD2445" s="116"/>
      <c r="AE2445" s="116"/>
      <c r="AF2445" s="116"/>
      <c r="AG2445" s="116"/>
      <c r="AH2445" s="116"/>
      <c r="AI2445" s="116"/>
    </row>
    <row r="2446" spans="27:35" ht="18">
      <c r="AA2446" s="116"/>
      <c r="AB2446" s="87"/>
      <c r="AC2446" s="116"/>
      <c r="AD2446" s="116"/>
      <c r="AE2446" s="116"/>
      <c r="AF2446" s="116"/>
      <c r="AG2446" s="116"/>
      <c r="AH2446" s="116"/>
      <c r="AI2446" s="116"/>
    </row>
    <row r="2447" spans="27:35" ht="18">
      <c r="AA2447" s="116"/>
      <c r="AB2447" s="87"/>
      <c r="AC2447" s="116"/>
      <c r="AD2447" s="116"/>
      <c r="AE2447" s="116"/>
      <c r="AF2447" s="116"/>
      <c r="AG2447" s="116"/>
      <c r="AH2447" s="116"/>
      <c r="AI2447" s="116"/>
    </row>
    <row r="2448" spans="27:35" ht="18">
      <c r="AA2448" s="116"/>
      <c r="AB2448" s="87"/>
      <c r="AC2448" s="116"/>
      <c r="AD2448" s="116"/>
      <c r="AE2448" s="116"/>
      <c r="AF2448" s="116"/>
      <c r="AG2448" s="116"/>
      <c r="AH2448" s="116"/>
      <c r="AI2448" s="116"/>
    </row>
    <row r="2449" spans="27:35" ht="18">
      <c r="AA2449" s="116"/>
      <c r="AB2449" s="184"/>
      <c r="AC2449" s="116"/>
      <c r="AD2449" s="116"/>
      <c r="AE2449" s="116"/>
      <c r="AF2449" s="116"/>
      <c r="AG2449" s="116"/>
      <c r="AH2449" s="116"/>
      <c r="AI2449" s="116"/>
    </row>
    <row r="2450" spans="27:35" ht="18">
      <c r="AA2450" s="116"/>
      <c r="AB2450" s="184"/>
      <c r="AC2450" s="116"/>
      <c r="AD2450" s="116"/>
      <c r="AE2450" s="116"/>
      <c r="AF2450" s="116"/>
      <c r="AG2450" s="116"/>
      <c r="AH2450" s="116"/>
      <c r="AI2450" s="116"/>
    </row>
    <row r="2451" spans="27:35" ht="18">
      <c r="AA2451" s="116"/>
      <c r="AB2451" s="87"/>
      <c r="AC2451" s="116"/>
      <c r="AD2451" s="116"/>
      <c r="AE2451" s="116"/>
      <c r="AF2451" s="116"/>
      <c r="AG2451" s="116"/>
      <c r="AH2451" s="116"/>
      <c r="AI2451" s="116"/>
    </row>
    <row r="2452" spans="27:35" ht="18">
      <c r="AA2452" s="116"/>
      <c r="AB2452" s="87"/>
      <c r="AC2452" s="116"/>
      <c r="AD2452" s="116"/>
      <c r="AE2452" s="116"/>
      <c r="AF2452" s="116"/>
      <c r="AG2452" s="116"/>
      <c r="AH2452" s="116"/>
      <c r="AI2452" s="116"/>
    </row>
    <row r="2453" spans="27:35" ht="18">
      <c r="AA2453" s="116"/>
      <c r="AB2453" s="87"/>
      <c r="AC2453" s="116"/>
      <c r="AD2453" s="116"/>
      <c r="AE2453" s="116"/>
      <c r="AF2453" s="116"/>
      <c r="AG2453" s="116"/>
      <c r="AH2453" s="116"/>
      <c r="AI2453" s="116"/>
    </row>
    <row r="2454" spans="27:35" ht="18">
      <c r="AA2454" s="116"/>
      <c r="AB2454" s="87"/>
      <c r="AC2454" s="116"/>
      <c r="AD2454" s="116"/>
      <c r="AE2454" s="116"/>
      <c r="AF2454" s="116"/>
      <c r="AG2454" s="116"/>
      <c r="AH2454" s="116"/>
      <c r="AI2454" s="116"/>
    </row>
    <row r="2455" spans="27:35" ht="18">
      <c r="AA2455" s="116"/>
      <c r="AB2455" s="87"/>
      <c r="AC2455" s="116"/>
      <c r="AD2455" s="116"/>
      <c r="AE2455" s="116"/>
      <c r="AF2455" s="116"/>
      <c r="AG2455" s="116"/>
      <c r="AH2455" s="116"/>
      <c r="AI2455" s="116"/>
    </row>
    <row r="2456" spans="27:35" ht="18">
      <c r="AA2456" s="116"/>
      <c r="AB2456" s="184"/>
      <c r="AC2456" s="116"/>
      <c r="AD2456" s="116"/>
      <c r="AE2456" s="116"/>
      <c r="AF2456" s="116"/>
      <c r="AG2456" s="116"/>
      <c r="AH2456" s="116"/>
      <c r="AI2456" s="116"/>
    </row>
    <row r="2457" spans="27:35" ht="18">
      <c r="AA2457" s="116"/>
      <c r="AB2457" s="87"/>
      <c r="AC2457" s="116"/>
      <c r="AD2457" s="116"/>
      <c r="AE2457" s="116"/>
      <c r="AF2457" s="116"/>
      <c r="AG2457" s="116"/>
      <c r="AH2457" s="116"/>
      <c r="AI2457" s="116"/>
    </row>
    <row r="2458" spans="27:35" ht="18">
      <c r="AA2458" s="116"/>
      <c r="AB2458" s="87"/>
      <c r="AC2458" s="116"/>
      <c r="AD2458" s="116"/>
      <c r="AE2458" s="116"/>
      <c r="AF2458" s="116"/>
      <c r="AG2458" s="116"/>
      <c r="AH2458" s="116"/>
      <c r="AI2458" s="116"/>
    </row>
    <row r="2459" spans="27:35" ht="18">
      <c r="AA2459" s="116"/>
      <c r="AB2459" s="87"/>
      <c r="AC2459" s="116"/>
      <c r="AD2459" s="116"/>
      <c r="AE2459" s="116"/>
      <c r="AF2459" s="116"/>
      <c r="AG2459" s="116"/>
      <c r="AH2459" s="116"/>
      <c r="AI2459" s="116"/>
    </row>
    <row r="2460" spans="27:35" ht="18">
      <c r="AA2460" s="116"/>
      <c r="AB2460" s="87"/>
      <c r="AC2460" s="116"/>
      <c r="AD2460" s="116"/>
      <c r="AE2460" s="116"/>
      <c r="AF2460" s="116"/>
      <c r="AG2460" s="116"/>
      <c r="AH2460" s="116"/>
      <c r="AI2460" s="116"/>
    </row>
    <row r="2461" spans="27:35" ht="18">
      <c r="AA2461" s="116"/>
      <c r="AB2461" s="184"/>
      <c r="AC2461" s="116"/>
      <c r="AD2461" s="116"/>
      <c r="AE2461" s="116"/>
      <c r="AF2461" s="116"/>
      <c r="AG2461" s="116"/>
      <c r="AH2461" s="116"/>
      <c r="AI2461" s="116"/>
    </row>
    <row r="2462" spans="27:35" ht="18">
      <c r="AA2462" s="116"/>
      <c r="AB2462" s="87"/>
      <c r="AC2462" s="116"/>
      <c r="AD2462" s="116"/>
      <c r="AE2462" s="116"/>
      <c r="AF2462" s="116"/>
      <c r="AG2462" s="116"/>
      <c r="AH2462" s="116"/>
      <c r="AI2462" s="116"/>
    </row>
    <row r="2463" spans="27:35" ht="18">
      <c r="AA2463" s="116"/>
      <c r="AB2463" s="87"/>
      <c r="AC2463" s="116"/>
      <c r="AD2463" s="116"/>
      <c r="AE2463" s="116"/>
      <c r="AF2463" s="116"/>
      <c r="AG2463" s="116"/>
      <c r="AH2463" s="116"/>
      <c r="AI2463" s="116"/>
    </row>
    <row r="2464" spans="27:35" ht="18">
      <c r="AA2464" s="116"/>
      <c r="AB2464" s="87"/>
      <c r="AC2464" s="116"/>
      <c r="AD2464" s="116"/>
      <c r="AE2464" s="116"/>
      <c r="AF2464" s="116"/>
      <c r="AG2464" s="116"/>
      <c r="AH2464" s="116"/>
      <c r="AI2464" s="116"/>
    </row>
    <row r="2465" spans="27:35" ht="18">
      <c r="AA2465" s="116"/>
      <c r="AB2465" s="87"/>
      <c r="AC2465" s="116"/>
      <c r="AD2465" s="116"/>
      <c r="AE2465" s="116"/>
      <c r="AF2465" s="116"/>
      <c r="AG2465" s="116"/>
      <c r="AH2465" s="116"/>
      <c r="AI2465" s="116"/>
    </row>
    <row r="2466" spans="27:35" ht="18">
      <c r="AA2466" s="116"/>
      <c r="AB2466" s="184"/>
      <c r="AC2466" s="116"/>
      <c r="AD2466" s="116"/>
      <c r="AE2466" s="116"/>
      <c r="AF2466" s="116"/>
      <c r="AG2466" s="116"/>
      <c r="AH2466" s="116"/>
      <c r="AI2466" s="116"/>
    </row>
    <row r="2467" spans="27:35" ht="18">
      <c r="AA2467" s="116"/>
      <c r="AB2467" s="87"/>
      <c r="AC2467" s="116"/>
      <c r="AD2467" s="116"/>
      <c r="AE2467" s="116"/>
      <c r="AF2467" s="116"/>
      <c r="AG2467" s="116"/>
      <c r="AH2467" s="116"/>
      <c r="AI2467" s="116"/>
    </row>
    <row r="2468" spans="27:35" ht="18">
      <c r="AA2468" s="116"/>
      <c r="AB2468" s="87"/>
      <c r="AC2468" s="116"/>
      <c r="AD2468" s="116"/>
      <c r="AE2468" s="116"/>
      <c r="AF2468" s="116"/>
      <c r="AG2468" s="116"/>
      <c r="AH2468" s="116"/>
      <c r="AI2468" s="116"/>
    </row>
    <row r="2469" spans="27:35" ht="18">
      <c r="AA2469" s="116"/>
      <c r="AB2469" s="87"/>
      <c r="AC2469" s="116"/>
      <c r="AD2469" s="116"/>
      <c r="AE2469" s="116"/>
      <c r="AF2469" s="116"/>
      <c r="AG2469" s="116"/>
      <c r="AH2469" s="116"/>
      <c r="AI2469" s="116"/>
    </row>
    <row r="2470" spans="27:35" ht="18">
      <c r="AA2470" s="116"/>
      <c r="AB2470" s="87"/>
      <c r="AC2470" s="116"/>
      <c r="AD2470" s="116"/>
      <c r="AE2470" s="116"/>
      <c r="AF2470" s="116"/>
      <c r="AG2470" s="116"/>
      <c r="AH2470" s="116"/>
      <c r="AI2470" s="116"/>
    </row>
    <row r="2471" spans="27:35" ht="18">
      <c r="AA2471" s="116"/>
      <c r="AB2471" s="87"/>
      <c r="AC2471" s="116"/>
      <c r="AD2471" s="116"/>
      <c r="AE2471" s="116"/>
      <c r="AF2471" s="116"/>
      <c r="AG2471" s="116"/>
      <c r="AH2471" s="116"/>
      <c r="AI2471" s="116"/>
    </row>
    <row r="2472" spans="27:35" ht="18">
      <c r="AA2472" s="116"/>
      <c r="AB2472" s="87"/>
      <c r="AC2472" s="116"/>
      <c r="AD2472" s="116"/>
      <c r="AE2472" s="116"/>
      <c r="AF2472" s="116"/>
      <c r="AG2472" s="116"/>
      <c r="AH2472" s="116"/>
      <c r="AI2472" s="116"/>
    </row>
    <row r="2473" spans="27:35" ht="18">
      <c r="AA2473" s="116"/>
      <c r="AB2473" s="87"/>
      <c r="AC2473" s="116"/>
      <c r="AD2473" s="116"/>
      <c r="AE2473" s="116"/>
      <c r="AF2473" s="116"/>
      <c r="AG2473" s="116"/>
      <c r="AH2473" s="116"/>
      <c r="AI2473" s="116"/>
    </row>
    <row r="2474" spans="27:35" ht="18">
      <c r="AA2474" s="116"/>
      <c r="AB2474" s="87"/>
      <c r="AC2474" s="116"/>
      <c r="AD2474" s="116"/>
      <c r="AE2474" s="116"/>
      <c r="AF2474" s="116"/>
      <c r="AG2474" s="116"/>
      <c r="AH2474" s="116"/>
      <c r="AI2474" s="116"/>
    </row>
    <row r="2475" spans="27:35" ht="18">
      <c r="AA2475" s="116"/>
      <c r="AB2475" s="87"/>
      <c r="AC2475" s="116"/>
      <c r="AD2475" s="116"/>
      <c r="AE2475" s="116"/>
      <c r="AF2475" s="116"/>
      <c r="AG2475" s="116"/>
      <c r="AH2475" s="116"/>
      <c r="AI2475" s="116"/>
    </row>
    <row r="2476" spans="27:35" ht="18">
      <c r="AA2476" s="116"/>
      <c r="AB2476" s="184"/>
      <c r="AC2476" s="116"/>
      <c r="AD2476" s="116"/>
      <c r="AE2476" s="116"/>
      <c r="AF2476" s="116"/>
      <c r="AG2476" s="116"/>
      <c r="AH2476" s="116"/>
      <c r="AI2476" s="116"/>
    </row>
    <row r="2477" spans="27:35" ht="18">
      <c r="AA2477" s="116"/>
      <c r="AB2477" s="87"/>
      <c r="AC2477" s="116"/>
      <c r="AD2477" s="116"/>
      <c r="AE2477" s="116"/>
      <c r="AF2477" s="116"/>
      <c r="AG2477" s="116"/>
      <c r="AH2477" s="116"/>
      <c r="AI2477" s="116"/>
    </row>
    <row r="2478" spans="27:35" ht="18">
      <c r="AA2478" s="116"/>
      <c r="AB2478" s="87"/>
      <c r="AC2478" s="116"/>
      <c r="AD2478" s="116"/>
      <c r="AE2478" s="116"/>
      <c r="AF2478" s="116"/>
      <c r="AG2478" s="116"/>
      <c r="AH2478" s="116"/>
      <c r="AI2478" s="116"/>
    </row>
    <row r="2479" spans="27:35" ht="18">
      <c r="AA2479" s="116"/>
      <c r="AB2479" s="87"/>
      <c r="AC2479" s="116"/>
      <c r="AD2479" s="116"/>
      <c r="AE2479" s="116"/>
      <c r="AF2479" s="116"/>
      <c r="AG2479" s="116"/>
      <c r="AH2479" s="116"/>
      <c r="AI2479" s="116"/>
    </row>
    <row r="2480" spans="27:35" ht="18">
      <c r="AA2480" s="116"/>
      <c r="AB2480" s="87"/>
      <c r="AC2480" s="116"/>
      <c r="AD2480" s="116"/>
      <c r="AE2480" s="116"/>
      <c r="AF2480" s="116"/>
      <c r="AG2480" s="116"/>
      <c r="AH2480" s="116"/>
      <c r="AI2480" s="116"/>
    </row>
    <row r="2481" spans="27:35" ht="18">
      <c r="AA2481" s="116"/>
      <c r="AB2481" s="87"/>
      <c r="AC2481" s="116"/>
      <c r="AD2481" s="116"/>
      <c r="AE2481" s="116"/>
      <c r="AF2481" s="116"/>
      <c r="AG2481" s="116"/>
      <c r="AH2481" s="116"/>
      <c r="AI2481" s="116"/>
    </row>
    <row r="2482" spans="27:35" ht="18">
      <c r="AA2482" s="116"/>
      <c r="AB2482" s="87"/>
      <c r="AC2482" s="116"/>
      <c r="AD2482" s="116"/>
      <c r="AE2482" s="116"/>
      <c r="AF2482" s="116"/>
      <c r="AG2482" s="116"/>
      <c r="AH2482" s="116"/>
      <c r="AI2482" s="116"/>
    </row>
    <row r="2483" spans="27:35" ht="18">
      <c r="AA2483" s="116"/>
      <c r="AB2483" s="87"/>
      <c r="AC2483" s="116"/>
      <c r="AD2483" s="116"/>
      <c r="AE2483" s="116"/>
      <c r="AF2483" s="116"/>
      <c r="AG2483" s="116"/>
      <c r="AH2483" s="116"/>
      <c r="AI2483" s="116"/>
    </row>
    <row r="2484" spans="27:35" ht="18">
      <c r="AA2484" s="116"/>
      <c r="AB2484" s="87"/>
      <c r="AC2484" s="116"/>
      <c r="AD2484" s="116"/>
      <c r="AE2484" s="116"/>
      <c r="AF2484" s="116"/>
      <c r="AG2484" s="116"/>
      <c r="AH2484" s="116"/>
      <c r="AI2484" s="116"/>
    </row>
    <row r="2485" spans="27:35" ht="18">
      <c r="AA2485" s="116"/>
      <c r="AB2485" s="87"/>
      <c r="AC2485" s="116"/>
      <c r="AD2485" s="116"/>
      <c r="AE2485" s="116"/>
      <c r="AF2485" s="116"/>
      <c r="AG2485" s="116"/>
      <c r="AH2485" s="116"/>
      <c r="AI2485" s="116"/>
    </row>
    <row r="2486" spans="27:35" ht="18">
      <c r="AA2486" s="116"/>
      <c r="AB2486" s="87"/>
      <c r="AC2486" s="116"/>
      <c r="AD2486" s="116"/>
      <c r="AE2486" s="116"/>
      <c r="AF2486" s="116"/>
      <c r="AG2486" s="116"/>
      <c r="AH2486" s="116"/>
      <c r="AI2486" s="116"/>
    </row>
    <row r="2487" spans="27:35" ht="18">
      <c r="AA2487" s="116"/>
      <c r="AB2487" s="87"/>
      <c r="AC2487" s="116"/>
      <c r="AD2487" s="116"/>
      <c r="AE2487" s="116"/>
      <c r="AF2487" s="116"/>
      <c r="AG2487" s="116"/>
      <c r="AH2487" s="116"/>
      <c r="AI2487" s="116"/>
    </row>
    <row r="2488" spans="27:35" ht="18">
      <c r="AA2488" s="116"/>
      <c r="AB2488" s="184"/>
      <c r="AC2488" s="116"/>
      <c r="AD2488" s="116"/>
      <c r="AE2488" s="116"/>
      <c r="AF2488" s="116"/>
      <c r="AG2488" s="116"/>
      <c r="AH2488" s="116"/>
      <c r="AI2488" s="116"/>
    </row>
    <row r="2489" spans="27:35" ht="18">
      <c r="AA2489" s="116"/>
      <c r="AB2489" s="184"/>
      <c r="AC2489" s="116"/>
      <c r="AD2489" s="116"/>
      <c r="AE2489" s="116"/>
      <c r="AF2489" s="116"/>
      <c r="AG2489" s="116"/>
      <c r="AH2489" s="116"/>
      <c r="AI2489" s="116"/>
    </row>
    <row r="2490" spans="27:35" ht="18">
      <c r="AA2490" s="116"/>
      <c r="AB2490" s="87"/>
      <c r="AC2490" s="116"/>
      <c r="AD2490" s="116"/>
      <c r="AE2490" s="116"/>
      <c r="AF2490" s="116"/>
      <c r="AG2490" s="116"/>
      <c r="AH2490" s="116"/>
      <c r="AI2490" s="116"/>
    </row>
    <row r="2491" spans="27:35" ht="18">
      <c r="AA2491" s="116"/>
      <c r="AB2491" s="87"/>
      <c r="AC2491" s="116"/>
      <c r="AD2491" s="116"/>
      <c r="AE2491" s="116"/>
      <c r="AF2491" s="116"/>
      <c r="AG2491" s="116"/>
      <c r="AH2491" s="116"/>
      <c r="AI2491" s="116"/>
    </row>
    <row r="2492" spans="27:35" ht="18">
      <c r="AA2492" s="116"/>
      <c r="AB2492" s="87"/>
      <c r="AC2492" s="116"/>
      <c r="AD2492" s="116"/>
      <c r="AE2492" s="116"/>
      <c r="AF2492" s="116"/>
      <c r="AG2492" s="116"/>
      <c r="AH2492" s="116"/>
      <c r="AI2492" s="116"/>
    </row>
    <row r="2493" spans="27:35" ht="18">
      <c r="AA2493" s="116"/>
      <c r="AB2493" s="87"/>
      <c r="AC2493" s="116"/>
      <c r="AD2493" s="116"/>
      <c r="AE2493" s="116"/>
      <c r="AF2493" s="116"/>
      <c r="AG2493" s="116"/>
      <c r="AH2493" s="116"/>
      <c r="AI2493" s="116"/>
    </row>
    <row r="2494" spans="27:35" ht="18">
      <c r="AA2494" s="116"/>
      <c r="AB2494" s="87"/>
      <c r="AC2494" s="116"/>
      <c r="AD2494" s="116"/>
      <c r="AE2494" s="116"/>
      <c r="AF2494" s="116"/>
      <c r="AG2494" s="116"/>
      <c r="AH2494" s="116"/>
      <c r="AI2494" s="116"/>
    </row>
    <row r="2495" spans="27:35" ht="18">
      <c r="AA2495" s="116"/>
      <c r="AB2495" s="87"/>
      <c r="AC2495" s="116"/>
      <c r="AD2495" s="116"/>
      <c r="AE2495" s="116"/>
      <c r="AF2495" s="116"/>
      <c r="AG2495" s="116"/>
      <c r="AH2495" s="116"/>
      <c r="AI2495" s="116"/>
    </row>
    <row r="2496" spans="27:35" ht="18">
      <c r="AA2496" s="116"/>
      <c r="AB2496" s="87"/>
      <c r="AC2496" s="116"/>
      <c r="AD2496" s="116"/>
      <c r="AE2496" s="116"/>
      <c r="AF2496" s="116"/>
      <c r="AG2496" s="116"/>
      <c r="AH2496" s="116"/>
      <c r="AI2496" s="116"/>
    </row>
    <row r="2497" spans="27:35" ht="18">
      <c r="AA2497" s="116"/>
      <c r="AB2497" s="87"/>
      <c r="AC2497" s="116"/>
      <c r="AD2497" s="116"/>
      <c r="AE2497" s="116"/>
      <c r="AF2497" s="116"/>
      <c r="AG2497" s="116"/>
      <c r="AH2497" s="116"/>
      <c r="AI2497" s="116"/>
    </row>
    <row r="2498" spans="27:35" ht="18">
      <c r="AA2498" s="116"/>
      <c r="AB2498" s="87"/>
      <c r="AC2498" s="116"/>
      <c r="AD2498" s="116"/>
      <c r="AE2498" s="116"/>
      <c r="AF2498" s="116"/>
      <c r="AG2498" s="116"/>
      <c r="AH2498" s="116"/>
      <c r="AI2498" s="116"/>
    </row>
    <row r="2499" spans="27:35" ht="18">
      <c r="AA2499" s="116"/>
      <c r="AB2499" s="87"/>
      <c r="AC2499" s="116"/>
      <c r="AD2499" s="116"/>
      <c r="AE2499" s="116"/>
      <c r="AF2499" s="116"/>
      <c r="AG2499" s="116"/>
      <c r="AH2499" s="116"/>
      <c r="AI2499" s="116"/>
    </row>
    <row r="2500" spans="27:35" ht="18">
      <c r="AA2500" s="116"/>
      <c r="AB2500" s="87"/>
      <c r="AC2500" s="116"/>
      <c r="AD2500" s="116"/>
      <c r="AE2500" s="116"/>
      <c r="AF2500" s="116"/>
      <c r="AG2500" s="116"/>
      <c r="AH2500" s="116"/>
      <c r="AI2500" s="116"/>
    </row>
    <row r="2501" spans="27:35" ht="18">
      <c r="AA2501" s="116"/>
      <c r="AB2501" s="87"/>
      <c r="AC2501" s="116"/>
      <c r="AD2501" s="116"/>
      <c r="AE2501" s="116"/>
      <c r="AF2501" s="116"/>
      <c r="AG2501" s="116"/>
      <c r="AH2501" s="116"/>
      <c r="AI2501" s="116"/>
    </row>
    <row r="2502" spans="27:35" ht="18">
      <c r="AA2502" s="116"/>
      <c r="AB2502" s="87"/>
      <c r="AC2502" s="116"/>
      <c r="AD2502" s="116"/>
      <c r="AE2502" s="116"/>
      <c r="AF2502" s="116"/>
      <c r="AG2502" s="116"/>
      <c r="AH2502" s="116"/>
      <c r="AI2502" s="116"/>
    </row>
    <row r="2503" spans="27:35" ht="18">
      <c r="AA2503" s="116"/>
      <c r="AB2503" s="87"/>
      <c r="AC2503" s="116"/>
      <c r="AD2503" s="116"/>
      <c r="AE2503" s="116"/>
      <c r="AF2503" s="116"/>
      <c r="AG2503" s="116"/>
      <c r="AH2503" s="116"/>
      <c r="AI2503" s="116"/>
    </row>
    <row r="2504" spans="27:35" ht="18">
      <c r="AA2504" s="116"/>
      <c r="AB2504" s="87"/>
      <c r="AC2504" s="116"/>
      <c r="AD2504" s="116"/>
      <c r="AE2504" s="116"/>
      <c r="AF2504" s="116"/>
      <c r="AG2504" s="116"/>
      <c r="AH2504" s="116"/>
      <c r="AI2504" s="116"/>
    </row>
    <row r="2505" spans="27:35" ht="18">
      <c r="AA2505" s="116"/>
      <c r="AB2505" s="87"/>
      <c r="AC2505" s="116"/>
      <c r="AD2505" s="116"/>
      <c r="AE2505" s="116"/>
      <c r="AF2505" s="116"/>
      <c r="AG2505" s="116"/>
      <c r="AH2505" s="116"/>
      <c r="AI2505" s="116"/>
    </row>
    <row r="2506" spans="27:35" ht="18">
      <c r="AA2506" s="116"/>
      <c r="AB2506" s="87"/>
      <c r="AC2506" s="116"/>
      <c r="AD2506" s="116"/>
      <c r="AE2506" s="116"/>
      <c r="AF2506" s="116"/>
      <c r="AG2506" s="116"/>
      <c r="AH2506" s="116"/>
      <c r="AI2506" s="116"/>
    </row>
    <row r="2507" spans="27:35" ht="18">
      <c r="AA2507" s="116"/>
      <c r="AB2507" s="87"/>
      <c r="AC2507" s="116"/>
      <c r="AD2507" s="116"/>
      <c r="AE2507" s="116"/>
      <c r="AF2507" s="116"/>
      <c r="AG2507" s="116"/>
      <c r="AH2507" s="116"/>
      <c r="AI2507" s="116"/>
    </row>
    <row r="2508" spans="27:35" ht="18">
      <c r="AA2508" s="116"/>
      <c r="AB2508" s="87"/>
      <c r="AC2508" s="116"/>
      <c r="AD2508" s="116"/>
      <c r="AE2508" s="116"/>
      <c r="AF2508" s="116"/>
      <c r="AG2508" s="116"/>
      <c r="AH2508" s="116"/>
      <c r="AI2508" s="116"/>
    </row>
    <row r="2509" spans="27:35" ht="18">
      <c r="AA2509" s="116"/>
      <c r="AB2509" s="87"/>
      <c r="AC2509" s="116"/>
      <c r="AD2509" s="116"/>
      <c r="AE2509" s="116"/>
      <c r="AF2509" s="116"/>
      <c r="AG2509" s="116"/>
      <c r="AH2509" s="116"/>
      <c r="AI2509" s="116"/>
    </row>
    <row r="2510" spans="27:35" ht="18">
      <c r="AA2510" s="116"/>
      <c r="AB2510" s="87"/>
      <c r="AC2510" s="116"/>
      <c r="AD2510" s="116"/>
      <c r="AE2510" s="116"/>
      <c r="AF2510" s="116"/>
      <c r="AG2510" s="116"/>
      <c r="AH2510" s="116"/>
      <c r="AI2510" s="116"/>
    </row>
    <row r="2511" spans="27:35" ht="18">
      <c r="AA2511" s="116"/>
      <c r="AB2511" s="87"/>
      <c r="AC2511" s="116"/>
      <c r="AD2511" s="116"/>
      <c r="AE2511" s="116"/>
      <c r="AF2511" s="116"/>
      <c r="AG2511" s="116"/>
      <c r="AH2511" s="116"/>
      <c r="AI2511" s="116"/>
    </row>
    <row r="2512" spans="27:35" ht="18">
      <c r="AA2512" s="116"/>
      <c r="AB2512" s="87"/>
      <c r="AC2512" s="116"/>
      <c r="AD2512" s="116"/>
      <c r="AE2512" s="116"/>
      <c r="AF2512" s="116"/>
      <c r="AG2512" s="116"/>
      <c r="AH2512" s="116"/>
      <c r="AI2512" s="116"/>
    </row>
    <row r="2513" spans="27:35" ht="18">
      <c r="AA2513" s="116"/>
      <c r="AB2513" s="87"/>
      <c r="AC2513" s="116"/>
      <c r="AD2513" s="116"/>
      <c r="AE2513" s="116"/>
      <c r="AF2513" s="116"/>
      <c r="AG2513" s="116"/>
      <c r="AH2513" s="116"/>
      <c r="AI2513" s="116"/>
    </row>
    <row r="2514" spans="27:35" ht="18">
      <c r="AA2514" s="116"/>
      <c r="AB2514" s="87"/>
      <c r="AC2514" s="116"/>
      <c r="AD2514" s="116"/>
      <c r="AE2514" s="116"/>
      <c r="AF2514" s="116"/>
      <c r="AG2514" s="116"/>
      <c r="AH2514" s="116"/>
      <c r="AI2514" s="116"/>
    </row>
    <row r="2515" spans="27:35" ht="18">
      <c r="AA2515" s="116"/>
      <c r="AB2515" s="87"/>
      <c r="AC2515" s="116"/>
      <c r="AD2515" s="116"/>
      <c r="AE2515" s="116"/>
      <c r="AF2515" s="116"/>
      <c r="AG2515" s="116"/>
      <c r="AH2515" s="116"/>
      <c r="AI2515" s="116"/>
    </row>
    <row r="2516" spans="27:35" ht="18">
      <c r="AA2516" s="116"/>
      <c r="AB2516" s="87"/>
      <c r="AC2516" s="116"/>
      <c r="AD2516" s="116"/>
      <c r="AE2516" s="116"/>
      <c r="AF2516" s="116"/>
      <c r="AG2516" s="116"/>
      <c r="AH2516" s="116"/>
      <c r="AI2516" s="116"/>
    </row>
    <row r="2517" spans="27:35" ht="18">
      <c r="AA2517" s="116"/>
      <c r="AB2517" s="87"/>
      <c r="AC2517" s="116"/>
      <c r="AD2517" s="116"/>
      <c r="AE2517" s="116"/>
      <c r="AF2517" s="116"/>
      <c r="AG2517" s="116"/>
      <c r="AH2517" s="116"/>
      <c r="AI2517" s="116"/>
    </row>
    <row r="2518" spans="27:35" ht="18">
      <c r="AA2518" s="116"/>
      <c r="AB2518" s="87"/>
      <c r="AC2518" s="116"/>
      <c r="AD2518" s="116"/>
      <c r="AE2518" s="116"/>
      <c r="AF2518" s="116"/>
      <c r="AG2518" s="116"/>
      <c r="AH2518" s="116"/>
      <c r="AI2518" s="116"/>
    </row>
    <row r="2519" spans="27:35" ht="18">
      <c r="AA2519" s="116"/>
      <c r="AB2519" s="87"/>
      <c r="AC2519" s="116"/>
      <c r="AD2519" s="116"/>
      <c r="AE2519" s="116"/>
      <c r="AF2519" s="116"/>
      <c r="AG2519" s="116"/>
      <c r="AH2519" s="116"/>
      <c r="AI2519" s="116"/>
    </row>
    <row r="2520" spans="27:35" ht="18">
      <c r="AA2520" s="116"/>
      <c r="AB2520" s="184"/>
      <c r="AC2520" s="116"/>
      <c r="AD2520" s="116"/>
      <c r="AE2520" s="116"/>
      <c r="AF2520" s="116"/>
      <c r="AG2520" s="116"/>
      <c r="AH2520" s="116"/>
      <c r="AI2520" s="116"/>
    </row>
    <row r="2521" spans="27:35" ht="18">
      <c r="AA2521" s="116"/>
      <c r="AB2521" s="184"/>
      <c r="AC2521" s="116"/>
      <c r="AD2521" s="116"/>
      <c r="AE2521" s="116"/>
      <c r="AF2521" s="116"/>
      <c r="AG2521" s="116"/>
      <c r="AH2521" s="116"/>
      <c r="AI2521" s="116"/>
    </row>
    <row r="2522" spans="27:35" ht="18">
      <c r="AA2522" s="116"/>
      <c r="AB2522" s="87"/>
      <c r="AC2522" s="116"/>
      <c r="AD2522" s="116"/>
      <c r="AE2522" s="116"/>
      <c r="AF2522" s="116"/>
      <c r="AG2522" s="116"/>
      <c r="AH2522" s="116"/>
      <c r="AI2522" s="116"/>
    </row>
    <row r="2523" spans="27:35" ht="18">
      <c r="AA2523" s="116"/>
      <c r="AB2523" s="87"/>
      <c r="AC2523" s="116"/>
      <c r="AD2523" s="116"/>
      <c r="AE2523" s="116"/>
      <c r="AF2523" s="116"/>
      <c r="AG2523" s="116"/>
      <c r="AH2523" s="116"/>
      <c r="AI2523" s="116"/>
    </row>
    <row r="2524" spans="27:35" ht="18">
      <c r="AA2524" s="116"/>
      <c r="AB2524" s="87"/>
      <c r="AC2524" s="116"/>
      <c r="AD2524" s="116"/>
      <c r="AE2524" s="116"/>
      <c r="AF2524" s="116"/>
      <c r="AG2524" s="116"/>
      <c r="AH2524" s="116"/>
      <c r="AI2524" s="116"/>
    </row>
    <row r="2525" spans="27:35" ht="18">
      <c r="AA2525" s="116"/>
      <c r="AB2525" s="87"/>
      <c r="AC2525" s="116"/>
      <c r="AD2525" s="116"/>
      <c r="AE2525" s="116"/>
      <c r="AF2525" s="116"/>
      <c r="AG2525" s="116"/>
      <c r="AH2525" s="116"/>
      <c r="AI2525" s="116"/>
    </row>
    <row r="2526" spans="27:35" ht="18">
      <c r="AA2526" s="116"/>
      <c r="AB2526" s="87"/>
      <c r="AC2526" s="116"/>
      <c r="AD2526" s="116"/>
      <c r="AE2526" s="116"/>
      <c r="AF2526" s="116"/>
      <c r="AG2526" s="116"/>
      <c r="AH2526" s="116"/>
      <c r="AI2526" s="116"/>
    </row>
    <row r="2527" spans="27:35" ht="18">
      <c r="AA2527" s="116"/>
      <c r="AB2527" s="184"/>
      <c r="AC2527" s="116"/>
      <c r="AD2527" s="116"/>
      <c r="AE2527" s="116"/>
      <c r="AF2527" s="116"/>
      <c r="AG2527" s="116"/>
      <c r="AH2527" s="116"/>
      <c r="AI2527" s="116"/>
    </row>
    <row r="2528" spans="27:35" ht="18">
      <c r="AA2528" s="116"/>
      <c r="AB2528" s="87"/>
      <c r="AC2528" s="116"/>
      <c r="AD2528" s="116"/>
      <c r="AE2528" s="116"/>
      <c r="AF2528" s="116"/>
      <c r="AG2528" s="116"/>
      <c r="AH2528" s="116"/>
      <c r="AI2528" s="116"/>
    </row>
    <row r="2529" spans="27:35" ht="18">
      <c r="AA2529" s="116"/>
      <c r="AB2529" s="87"/>
      <c r="AC2529" s="116"/>
      <c r="AD2529" s="116"/>
      <c r="AE2529" s="116"/>
      <c r="AF2529" s="116"/>
      <c r="AG2529" s="116"/>
      <c r="AH2529" s="116"/>
      <c r="AI2529" s="116"/>
    </row>
    <row r="2530" spans="27:35" ht="18">
      <c r="AA2530" s="116"/>
      <c r="AB2530" s="184"/>
      <c r="AC2530" s="116"/>
      <c r="AD2530" s="116"/>
      <c r="AE2530" s="116"/>
      <c r="AF2530" s="116"/>
      <c r="AG2530" s="116"/>
      <c r="AH2530" s="116"/>
      <c r="AI2530" s="116"/>
    </row>
    <row r="2531" spans="27:35" ht="18">
      <c r="AA2531" s="116"/>
      <c r="AB2531" s="87"/>
      <c r="AC2531" s="116"/>
      <c r="AD2531" s="116"/>
      <c r="AE2531" s="116"/>
      <c r="AF2531" s="116"/>
      <c r="AG2531" s="116"/>
      <c r="AH2531" s="116"/>
      <c r="AI2531" s="116"/>
    </row>
    <row r="2532" spans="27:35" ht="18">
      <c r="AA2532" s="116"/>
      <c r="AB2532" s="87"/>
      <c r="AC2532" s="116"/>
      <c r="AD2532" s="116"/>
      <c r="AE2532" s="116"/>
      <c r="AF2532" s="116"/>
      <c r="AG2532" s="116"/>
      <c r="AH2532" s="116"/>
      <c r="AI2532" s="116"/>
    </row>
    <row r="2533" spans="27:35" ht="18">
      <c r="AA2533" s="116"/>
      <c r="AB2533" s="184"/>
      <c r="AC2533" s="116"/>
      <c r="AD2533" s="116"/>
      <c r="AE2533" s="116"/>
      <c r="AF2533" s="116"/>
      <c r="AG2533" s="116"/>
      <c r="AH2533" s="116"/>
      <c r="AI2533" s="116"/>
    </row>
    <row r="2534" spans="27:35" ht="18">
      <c r="AA2534" s="116"/>
      <c r="AB2534" s="87"/>
      <c r="AC2534" s="116"/>
      <c r="AD2534" s="116"/>
      <c r="AE2534" s="116"/>
      <c r="AF2534" s="116"/>
      <c r="AG2534" s="116"/>
      <c r="AH2534" s="116"/>
      <c r="AI2534" s="116"/>
    </row>
    <row r="2535" spans="27:35" ht="18">
      <c r="AA2535" s="116"/>
      <c r="AB2535" s="87"/>
      <c r="AC2535" s="116"/>
      <c r="AD2535" s="116"/>
      <c r="AE2535" s="116"/>
      <c r="AF2535" s="116"/>
      <c r="AG2535" s="116"/>
      <c r="AH2535" s="116"/>
      <c r="AI2535" s="116"/>
    </row>
    <row r="2536" spans="27:35" ht="18">
      <c r="AA2536" s="116"/>
      <c r="AB2536" s="184"/>
      <c r="AC2536" s="116"/>
      <c r="AD2536" s="116"/>
      <c r="AE2536" s="116"/>
      <c r="AF2536" s="116"/>
      <c r="AG2536" s="116"/>
      <c r="AH2536" s="116"/>
      <c r="AI2536" s="116"/>
    </row>
    <row r="2537" spans="27:35" ht="18">
      <c r="AA2537" s="116"/>
      <c r="AB2537" s="87"/>
      <c r="AC2537" s="116"/>
      <c r="AD2537" s="116"/>
      <c r="AE2537" s="116"/>
      <c r="AF2537" s="116"/>
      <c r="AG2537" s="116"/>
      <c r="AH2537" s="116"/>
      <c r="AI2537" s="116"/>
    </row>
    <row r="2538" spans="27:35" ht="18">
      <c r="AA2538" s="116"/>
      <c r="AB2538" s="87"/>
      <c r="AC2538" s="116"/>
      <c r="AD2538" s="116"/>
      <c r="AE2538" s="116"/>
      <c r="AF2538" s="116"/>
      <c r="AG2538" s="116"/>
      <c r="AH2538" s="116"/>
      <c r="AI2538" s="116"/>
    </row>
    <row r="2539" spans="27:35" ht="18">
      <c r="AA2539" s="116"/>
      <c r="AB2539" s="87"/>
      <c r="AC2539" s="116"/>
      <c r="AD2539" s="116"/>
      <c r="AE2539" s="116"/>
      <c r="AF2539" s="116"/>
      <c r="AG2539" s="116"/>
      <c r="AH2539" s="116"/>
      <c r="AI2539" s="116"/>
    </row>
    <row r="2540" spans="27:35" ht="18">
      <c r="AA2540" s="116"/>
      <c r="AB2540" s="87"/>
      <c r="AC2540" s="116"/>
      <c r="AD2540" s="116"/>
      <c r="AE2540" s="116"/>
      <c r="AF2540" s="116"/>
      <c r="AG2540" s="116"/>
      <c r="AH2540" s="116"/>
      <c r="AI2540" s="116"/>
    </row>
    <row r="2541" spans="27:35" ht="18">
      <c r="AA2541" s="116"/>
      <c r="AB2541" s="87"/>
      <c r="AC2541" s="116"/>
      <c r="AD2541" s="116"/>
      <c r="AE2541" s="116"/>
      <c r="AF2541" s="116"/>
      <c r="AG2541" s="116"/>
      <c r="AH2541" s="116"/>
      <c r="AI2541" s="116"/>
    </row>
    <row r="2542" spans="27:35" ht="18">
      <c r="AA2542" s="116"/>
      <c r="AB2542" s="87"/>
      <c r="AC2542" s="116"/>
      <c r="AD2542" s="116"/>
      <c r="AE2542" s="116"/>
      <c r="AF2542" s="116"/>
      <c r="AG2542" s="116"/>
      <c r="AH2542" s="116"/>
      <c r="AI2542" s="116"/>
    </row>
    <row r="2543" spans="27:35" ht="18">
      <c r="AA2543" s="116"/>
      <c r="AB2543" s="87"/>
      <c r="AC2543" s="116"/>
      <c r="AD2543" s="116"/>
      <c r="AE2543" s="116"/>
      <c r="AF2543" s="116"/>
      <c r="AG2543" s="116"/>
      <c r="AH2543" s="116"/>
      <c r="AI2543" s="116"/>
    </row>
    <row r="2544" spans="27:35" ht="18">
      <c r="AA2544" s="116"/>
      <c r="AB2544" s="87"/>
      <c r="AC2544" s="116"/>
      <c r="AD2544" s="116"/>
      <c r="AE2544" s="116"/>
      <c r="AF2544" s="116"/>
      <c r="AG2544" s="116"/>
      <c r="AH2544" s="116"/>
      <c r="AI2544" s="116"/>
    </row>
    <row r="2545" spans="27:35" ht="18">
      <c r="AA2545" s="116"/>
      <c r="AB2545" s="87"/>
      <c r="AC2545" s="116"/>
      <c r="AD2545" s="116"/>
      <c r="AE2545" s="116"/>
      <c r="AF2545" s="116"/>
      <c r="AG2545" s="116"/>
      <c r="AH2545" s="116"/>
      <c r="AI2545" s="116"/>
    </row>
    <row r="2546" spans="27:35" ht="18">
      <c r="AA2546" s="116"/>
      <c r="AB2546" s="184"/>
      <c r="AC2546" s="116"/>
      <c r="AD2546" s="116"/>
      <c r="AE2546" s="116"/>
      <c r="AF2546" s="116"/>
      <c r="AG2546" s="116"/>
      <c r="AH2546" s="116"/>
      <c r="AI2546" s="116"/>
    </row>
    <row r="2547" spans="27:35" ht="18">
      <c r="AA2547" s="116"/>
      <c r="AB2547" s="87"/>
      <c r="AC2547" s="116"/>
      <c r="AD2547" s="116"/>
      <c r="AE2547" s="116"/>
      <c r="AF2547" s="116"/>
      <c r="AG2547" s="116"/>
      <c r="AH2547" s="116"/>
      <c r="AI2547" s="116"/>
    </row>
    <row r="2548" spans="27:35" ht="18">
      <c r="AA2548" s="116"/>
      <c r="AB2548" s="87"/>
      <c r="AC2548" s="116"/>
      <c r="AD2548" s="116"/>
      <c r="AE2548" s="116"/>
      <c r="AF2548" s="116"/>
      <c r="AG2548" s="116"/>
      <c r="AH2548" s="116"/>
      <c r="AI2548" s="116"/>
    </row>
    <row r="2549" spans="27:35" ht="18">
      <c r="AA2549" s="116"/>
      <c r="AB2549" s="184"/>
      <c r="AC2549" s="116"/>
      <c r="AD2549" s="116"/>
      <c r="AE2549" s="116"/>
      <c r="AF2549" s="116"/>
      <c r="AG2549" s="116"/>
      <c r="AH2549" s="116"/>
      <c r="AI2549" s="116"/>
    </row>
    <row r="2550" spans="27:35" ht="18">
      <c r="AA2550" s="116"/>
      <c r="AB2550" s="87"/>
      <c r="AC2550" s="116"/>
      <c r="AD2550" s="116"/>
      <c r="AE2550" s="116"/>
      <c r="AF2550" s="116"/>
      <c r="AG2550" s="116"/>
      <c r="AH2550" s="116"/>
      <c r="AI2550" s="116"/>
    </row>
    <row r="2551" spans="27:35" ht="18">
      <c r="AA2551" s="116"/>
      <c r="AB2551" s="87"/>
      <c r="AC2551" s="116"/>
      <c r="AD2551" s="116"/>
      <c r="AE2551" s="116"/>
      <c r="AF2551" s="116"/>
      <c r="AG2551" s="116"/>
      <c r="AH2551" s="116"/>
      <c r="AI2551" s="116"/>
    </row>
    <row r="2552" spans="27:35" ht="18">
      <c r="AA2552" s="116"/>
      <c r="AB2552" s="87"/>
      <c r="AC2552" s="116"/>
      <c r="AD2552" s="116"/>
      <c r="AE2552" s="116"/>
      <c r="AF2552" s="116"/>
      <c r="AG2552" s="116"/>
      <c r="AH2552" s="116"/>
      <c r="AI2552" s="116"/>
    </row>
    <row r="2553" spans="27:35" ht="18">
      <c r="AA2553" s="116"/>
      <c r="AB2553" s="87"/>
      <c r="AC2553" s="116"/>
      <c r="AD2553" s="116"/>
      <c r="AE2553" s="116"/>
      <c r="AF2553" s="116"/>
      <c r="AG2553" s="116"/>
      <c r="AH2553" s="116"/>
      <c r="AI2553" s="116"/>
    </row>
    <row r="2554" spans="27:35" ht="18">
      <c r="AA2554" s="116"/>
      <c r="AB2554" s="184"/>
      <c r="AC2554" s="116"/>
      <c r="AD2554" s="116"/>
      <c r="AE2554" s="116"/>
      <c r="AF2554" s="116"/>
      <c r="AG2554" s="116"/>
      <c r="AH2554" s="116"/>
      <c r="AI2554" s="116"/>
    </row>
    <row r="2555" spans="27:35" ht="18">
      <c r="AA2555" s="116"/>
      <c r="AB2555" s="87"/>
      <c r="AC2555" s="116"/>
      <c r="AD2555" s="116"/>
      <c r="AE2555" s="116"/>
      <c r="AF2555" s="116"/>
      <c r="AG2555" s="116"/>
      <c r="AH2555" s="116"/>
      <c r="AI2555" s="116"/>
    </row>
    <row r="2556" spans="27:35" ht="18">
      <c r="AA2556" s="116"/>
      <c r="AB2556" s="87"/>
      <c r="AC2556" s="116"/>
      <c r="AD2556" s="116"/>
      <c r="AE2556" s="116"/>
      <c r="AF2556" s="116"/>
      <c r="AG2556" s="116"/>
      <c r="AH2556" s="116"/>
      <c r="AI2556" s="116"/>
    </row>
    <row r="2557" spans="27:35" ht="18">
      <c r="AA2557" s="116"/>
      <c r="AB2557" s="184"/>
      <c r="AC2557" s="116"/>
      <c r="AD2557" s="116"/>
      <c r="AE2557" s="116"/>
      <c r="AF2557" s="116"/>
      <c r="AG2557" s="116"/>
      <c r="AH2557" s="116"/>
      <c r="AI2557" s="116"/>
    </row>
    <row r="2558" spans="27:35" ht="18">
      <c r="AA2558" s="116"/>
      <c r="AB2558" s="87"/>
      <c r="AC2558" s="116"/>
      <c r="AD2558" s="116"/>
      <c r="AE2558" s="116"/>
      <c r="AF2558" s="116"/>
      <c r="AG2558" s="116"/>
      <c r="AH2558" s="116"/>
      <c r="AI2558" s="116"/>
    </row>
    <row r="2559" spans="27:35" ht="18">
      <c r="AA2559" s="116"/>
      <c r="AB2559" s="87"/>
      <c r="AC2559" s="116"/>
      <c r="AD2559" s="116"/>
      <c r="AE2559" s="116"/>
      <c r="AF2559" s="116"/>
      <c r="AG2559" s="116"/>
      <c r="AH2559" s="116"/>
      <c r="AI2559" s="116"/>
    </row>
    <row r="2560" spans="27:35" ht="18">
      <c r="AA2560" s="116"/>
      <c r="AB2560" s="184"/>
      <c r="AC2560" s="116"/>
      <c r="AD2560" s="116"/>
      <c r="AE2560" s="116"/>
      <c r="AF2560" s="116"/>
      <c r="AG2560" s="116"/>
      <c r="AH2560" s="116"/>
      <c r="AI2560" s="116"/>
    </row>
    <row r="2561" spans="27:35" ht="18">
      <c r="AA2561" s="116"/>
      <c r="AB2561" s="87"/>
      <c r="AC2561" s="116"/>
      <c r="AD2561" s="116"/>
      <c r="AE2561" s="116"/>
      <c r="AF2561" s="116"/>
      <c r="AG2561" s="116"/>
      <c r="AH2561" s="116"/>
      <c r="AI2561" s="116"/>
    </row>
    <row r="2562" spans="27:35" ht="18">
      <c r="AA2562" s="116"/>
      <c r="AB2562" s="87"/>
      <c r="AC2562" s="116"/>
      <c r="AD2562" s="116"/>
      <c r="AE2562" s="116"/>
      <c r="AF2562" s="116"/>
      <c r="AG2562" s="116"/>
      <c r="AH2562" s="116"/>
      <c r="AI2562" s="116"/>
    </row>
    <row r="2563" spans="27:35" ht="18">
      <c r="AA2563" s="116"/>
      <c r="AB2563" s="87"/>
      <c r="AC2563" s="116"/>
      <c r="AD2563" s="116"/>
      <c r="AE2563" s="116"/>
      <c r="AF2563" s="116"/>
      <c r="AG2563" s="116"/>
      <c r="AH2563" s="116"/>
      <c r="AI2563" s="116"/>
    </row>
    <row r="2564" spans="27:35" ht="18">
      <c r="AA2564" s="116"/>
      <c r="AB2564" s="87"/>
      <c r="AC2564" s="116"/>
      <c r="AD2564" s="116"/>
      <c r="AE2564" s="116"/>
      <c r="AF2564" s="116"/>
      <c r="AG2564" s="116"/>
      <c r="AH2564" s="116"/>
      <c r="AI2564" s="116"/>
    </row>
    <row r="2565" spans="27:35" ht="18">
      <c r="AA2565" s="116"/>
      <c r="AB2565" s="184"/>
      <c r="AC2565" s="116"/>
      <c r="AD2565" s="116"/>
      <c r="AE2565" s="116"/>
      <c r="AF2565" s="116"/>
      <c r="AG2565" s="116"/>
      <c r="AH2565" s="116"/>
      <c r="AI2565" s="116"/>
    </row>
    <row r="2566" spans="27:35" ht="18">
      <c r="AA2566" s="116"/>
      <c r="AB2566" s="87"/>
      <c r="AC2566" s="116"/>
      <c r="AD2566" s="116"/>
      <c r="AE2566" s="116"/>
      <c r="AF2566" s="116"/>
      <c r="AG2566" s="116"/>
      <c r="AH2566" s="116"/>
      <c r="AI2566" s="116"/>
    </row>
    <row r="2567" spans="27:35" ht="18">
      <c r="AA2567" s="116"/>
      <c r="AB2567" s="87"/>
      <c r="AC2567" s="116"/>
      <c r="AD2567" s="116"/>
      <c r="AE2567" s="116"/>
      <c r="AF2567" s="116"/>
      <c r="AG2567" s="116"/>
      <c r="AH2567" s="116"/>
      <c r="AI2567" s="116"/>
    </row>
    <row r="2568" spans="27:35" ht="18">
      <c r="AA2568" s="116"/>
      <c r="AB2568" s="87"/>
      <c r="AC2568" s="116"/>
      <c r="AD2568" s="116"/>
      <c r="AE2568" s="116"/>
      <c r="AF2568" s="116"/>
      <c r="AG2568" s="116"/>
      <c r="AH2568" s="116"/>
      <c r="AI2568" s="116"/>
    </row>
    <row r="2569" spans="27:35" ht="18">
      <c r="AA2569" s="116"/>
      <c r="AB2569" s="87"/>
      <c r="AC2569" s="116"/>
      <c r="AD2569" s="116"/>
      <c r="AE2569" s="116"/>
      <c r="AF2569" s="116"/>
      <c r="AG2569" s="116"/>
      <c r="AH2569" s="116"/>
      <c r="AI2569" s="116"/>
    </row>
    <row r="2570" spans="27:35" ht="18">
      <c r="AA2570" s="116"/>
      <c r="AB2570" s="184"/>
      <c r="AC2570" s="116"/>
      <c r="AD2570" s="116"/>
      <c r="AE2570" s="116"/>
      <c r="AF2570" s="116"/>
      <c r="AG2570" s="116"/>
      <c r="AH2570" s="116"/>
      <c r="AI2570" s="116"/>
    </row>
    <row r="2571" spans="27:35" ht="18">
      <c r="AA2571" s="116"/>
      <c r="AB2571" s="87"/>
      <c r="AC2571" s="116"/>
      <c r="AD2571" s="116"/>
      <c r="AE2571" s="116"/>
      <c r="AF2571" s="116"/>
      <c r="AG2571" s="116"/>
      <c r="AH2571" s="116"/>
      <c r="AI2571" s="116"/>
    </row>
    <row r="2572" spans="27:35" ht="18">
      <c r="AA2572" s="116"/>
      <c r="AB2572" s="87"/>
      <c r="AC2572" s="116"/>
      <c r="AD2572" s="116"/>
      <c r="AE2572" s="116"/>
      <c r="AF2572" s="116"/>
      <c r="AG2572" s="116"/>
      <c r="AH2572" s="116"/>
      <c r="AI2572" s="116"/>
    </row>
    <row r="2573" spans="27:35" ht="18">
      <c r="AA2573" s="116"/>
      <c r="AB2573" s="87"/>
      <c r="AC2573" s="116"/>
      <c r="AD2573" s="116"/>
      <c r="AE2573" s="116"/>
      <c r="AF2573" s="116"/>
      <c r="AG2573" s="116"/>
      <c r="AH2573" s="116"/>
      <c r="AI2573" s="116"/>
    </row>
    <row r="2574" spans="27:35" ht="18">
      <c r="AA2574" s="116"/>
      <c r="AB2574" s="87"/>
      <c r="AC2574" s="116"/>
      <c r="AD2574" s="116"/>
      <c r="AE2574" s="116"/>
      <c r="AF2574" s="116"/>
      <c r="AG2574" s="116"/>
      <c r="AH2574" s="116"/>
      <c r="AI2574" s="116"/>
    </row>
    <row r="2575" spans="27:35" ht="18">
      <c r="AA2575" s="116"/>
      <c r="AB2575" s="184"/>
      <c r="AC2575" s="116"/>
      <c r="AD2575" s="116"/>
      <c r="AE2575" s="116"/>
      <c r="AF2575" s="116"/>
      <c r="AG2575" s="116"/>
      <c r="AH2575" s="116"/>
      <c r="AI2575" s="116"/>
    </row>
    <row r="2576" spans="27:35" ht="18">
      <c r="AA2576" s="116"/>
      <c r="AB2576" s="87"/>
      <c r="AC2576" s="116"/>
      <c r="AD2576" s="116"/>
      <c r="AE2576" s="116"/>
      <c r="AF2576" s="116"/>
      <c r="AG2576" s="116"/>
      <c r="AH2576" s="116"/>
      <c r="AI2576" s="116"/>
    </row>
    <row r="2577" spans="27:35" ht="18">
      <c r="AA2577" s="116"/>
      <c r="AB2577" s="87"/>
      <c r="AC2577" s="116"/>
      <c r="AD2577" s="116"/>
      <c r="AE2577" s="116"/>
      <c r="AF2577" s="116"/>
      <c r="AG2577" s="116"/>
      <c r="AH2577" s="116"/>
      <c r="AI2577" s="116"/>
    </row>
    <row r="2578" spans="27:35" ht="18">
      <c r="AA2578" s="116"/>
      <c r="AB2578" s="87"/>
      <c r="AC2578" s="116"/>
      <c r="AD2578" s="116"/>
      <c r="AE2578" s="116"/>
      <c r="AF2578" s="116"/>
      <c r="AG2578" s="116"/>
      <c r="AH2578" s="116"/>
      <c r="AI2578" s="116"/>
    </row>
    <row r="2579" spans="27:35" ht="18">
      <c r="AA2579" s="116"/>
      <c r="AB2579" s="87"/>
      <c r="AC2579" s="116"/>
      <c r="AD2579" s="116"/>
      <c r="AE2579" s="116"/>
      <c r="AF2579" s="116"/>
      <c r="AG2579" s="116"/>
      <c r="AH2579" s="116"/>
      <c r="AI2579" s="116"/>
    </row>
    <row r="2580" spans="27:35" ht="18">
      <c r="AA2580" s="116"/>
      <c r="AB2580" s="184"/>
      <c r="AC2580" s="116"/>
      <c r="AD2580" s="116"/>
      <c r="AE2580" s="116"/>
      <c r="AF2580" s="116"/>
      <c r="AG2580" s="116"/>
      <c r="AH2580" s="116"/>
      <c r="AI2580" s="116"/>
    </row>
    <row r="2581" spans="27:35" ht="18">
      <c r="AA2581" s="116"/>
      <c r="AB2581" s="87"/>
      <c r="AC2581" s="116"/>
      <c r="AD2581" s="116"/>
      <c r="AE2581" s="116"/>
      <c r="AF2581" s="116"/>
      <c r="AG2581" s="116"/>
      <c r="AH2581" s="116"/>
      <c r="AI2581" s="116"/>
    </row>
    <row r="2582" spans="27:35" ht="18">
      <c r="AA2582" s="116"/>
      <c r="AB2582" s="87"/>
      <c r="AC2582" s="116"/>
      <c r="AD2582" s="116"/>
      <c r="AE2582" s="116"/>
      <c r="AF2582" s="116"/>
      <c r="AG2582" s="116"/>
      <c r="AH2582" s="116"/>
      <c r="AI2582" s="116"/>
    </row>
    <row r="2583" spans="27:35" ht="18">
      <c r="AA2583" s="116"/>
      <c r="AB2583" s="87"/>
      <c r="AC2583" s="116"/>
      <c r="AD2583" s="116"/>
      <c r="AE2583" s="116"/>
      <c r="AF2583" s="116"/>
      <c r="AG2583" s="116"/>
      <c r="AH2583" s="116"/>
      <c r="AI2583" s="116"/>
    </row>
    <row r="2584" spans="27:35" ht="18">
      <c r="AA2584" s="116"/>
      <c r="AB2584" s="87"/>
      <c r="AC2584" s="116"/>
      <c r="AD2584" s="116"/>
      <c r="AE2584" s="116"/>
      <c r="AF2584" s="116"/>
      <c r="AG2584" s="116"/>
      <c r="AH2584" s="116"/>
      <c r="AI2584" s="116"/>
    </row>
    <row r="2585" spans="27:35" ht="18">
      <c r="AA2585" s="116"/>
      <c r="AB2585" s="184"/>
      <c r="AC2585" s="116"/>
      <c r="AD2585" s="116"/>
      <c r="AE2585" s="116"/>
      <c r="AF2585" s="116"/>
      <c r="AG2585" s="116"/>
      <c r="AH2585" s="116"/>
      <c r="AI2585" s="116"/>
    </row>
    <row r="2586" spans="27:35" ht="18">
      <c r="AA2586" s="116"/>
      <c r="AB2586" s="87"/>
      <c r="AC2586" s="116"/>
      <c r="AD2586" s="116"/>
      <c r="AE2586" s="116"/>
      <c r="AF2586" s="116"/>
      <c r="AG2586" s="116"/>
      <c r="AH2586" s="116"/>
      <c r="AI2586" s="116"/>
    </row>
    <row r="2587" spans="27:35" ht="18">
      <c r="AA2587" s="116"/>
      <c r="AB2587" s="87"/>
      <c r="AC2587" s="116"/>
      <c r="AD2587" s="116"/>
      <c r="AE2587" s="116"/>
      <c r="AF2587" s="116"/>
      <c r="AG2587" s="116"/>
      <c r="AH2587" s="116"/>
      <c r="AI2587" s="116"/>
    </row>
    <row r="2588" spans="27:35" ht="18">
      <c r="AA2588" s="116"/>
      <c r="AB2588" s="87"/>
      <c r="AC2588" s="116"/>
      <c r="AD2588" s="116"/>
      <c r="AE2588" s="116"/>
      <c r="AF2588" s="116"/>
      <c r="AG2588" s="116"/>
      <c r="AH2588" s="116"/>
      <c r="AI2588" s="116"/>
    </row>
    <row r="2589" spans="27:35" ht="18">
      <c r="AA2589" s="116"/>
      <c r="AB2589" s="87"/>
      <c r="AC2589" s="116"/>
      <c r="AD2589" s="116"/>
      <c r="AE2589" s="116"/>
      <c r="AF2589" s="116"/>
      <c r="AG2589" s="116"/>
      <c r="AH2589" s="116"/>
      <c r="AI2589" s="116"/>
    </row>
    <row r="2590" spans="27:35" ht="18">
      <c r="AA2590" s="116"/>
      <c r="AB2590" s="184"/>
      <c r="AC2590" s="116"/>
      <c r="AD2590" s="116"/>
      <c r="AE2590" s="116"/>
      <c r="AF2590" s="116"/>
      <c r="AG2590" s="116"/>
      <c r="AH2590" s="116"/>
      <c r="AI2590" s="116"/>
    </row>
    <row r="2591" spans="27:35" ht="18">
      <c r="AA2591" s="116"/>
      <c r="AB2591" s="87"/>
      <c r="AC2591" s="116"/>
      <c r="AD2591" s="116"/>
      <c r="AE2591" s="116"/>
      <c r="AF2591" s="116"/>
      <c r="AG2591" s="116"/>
      <c r="AH2591" s="116"/>
      <c r="AI2591" s="116"/>
    </row>
    <row r="2592" spans="27:35" ht="18">
      <c r="AA2592" s="116"/>
      <c r="AB2592" s="87"/>
      <c r="AC2592" s="116"/>
      <c r="AD2592" s="116"/>
      <c r="AE2592" s="116"/>
      <c r="AF2592" s="116"/>
      <c r="AG2592" s="116"/>
      <c r="AH2592" s="116"/>
      <c r="AI2592" s="116"/>
    </row>
    <row r="2593" spans="27:35" ht="18">
      <c r="AA2593" s="116"/>
      <c r="AB2593" s="184"/>
      <c r="AC2593" s="116"/>
      <c r="AD2593" s="116"/>
      <c r="AE2593" s="116"/>
      <c r="AF2593" s="116"/>
      <c r="AG2593" s="116"/>
      <c r="AH2593" s="116"/>
      <c r="AI2593" s="116"/>
    </row>
    <row r="2594" spans="27:35" ht="18">
      <c r="AA2594" s="116"/>
      <c r="AB2594" s="87"/>
      <c r="AC2594" s="116"/>
      <c r="AD2594" s="116"/>
      <c r="AE2594" s="116"/>
      <c r="AF2594" s="116"/>
      <c r="AG2594" s="116"/>
      <c r="AH2594" s="116"/>
      <c r="AI2594" s="116"/>
    </row>
    <row r="2595" spans="27:35" ht="18">
      <c r="AA2595" s="116"/>
      <c r="AB2595" s="87"/>
      <c r="AC2595" s="116"/>
      <c r="AD2595" s="116"/>
      <c r="AE2595" s="116"/>
      <c r="AF2595" s="116"/>
      <c r="AG2595" s="116"/>
      <c r="AH2595" s="116"/>
      <c r="AI2595" s="116"/>
    </row>
    <row r="2596" spans="27:35" ht="18">
      <c r="AA2596" s="116"/>
      <c r="AB2596" s="184"/>
      <c r="AC2596" s="116"/>
      <c r="AD2596" s="116"/>
      <c r="AE2596" s="116"/>
      <c r="AF2596" s="116"/>
      <c r="AG2596" s="116"/>
      <c r="AH2596" s="116"/>
      <c r="AI2596" s="116"/>
    </row>
    <row r="2597" spans="27:35" ht="18">
      <c r="AA2597" s="116"/>
      <c r="AB2597" s="87"/>
      <c r="AC2597" s="116"/>
      <c r="AD2597" s="116"/>
      <c r="AE2597" s="116"/>
      <c r="AF2597" s="116"/>
      <c r="AG2597" s="116"/>
      <c r="AH2597" s="116"/>
      <c r="AI2597" s="116"/>
    </row>
    <row r="2598" spans="27:35" ht="18">
      <c r="AA2598" s="116"/>
      <c r="AB2598" s="87"/>
      <c r="AC2598" s="116"/>
      <c r="AD2598" s="116"/>
      <c r="AE2598" s="116"/>
      <c r="AF2598" s="116"/>
      <c r="AG2598" s="116"/>
      <c r="AH2598" s="116"/>
      <c r="AI2598" s="116"/>
    </row>
    <row r="2599" spans="27:35" ht="18">
      <c r="AA2599" s="116"/>
      <c r="AB2599" s="184"/>
      <c r="AC2599" s="116"/>
      <c r="AD2599" s="116"/>
      <c r="AE2599" s="116"/>
      <c r="AF2599" s="116"/>
      <c r="AG2599" s="116"/>
      <c r="AH2599" s="116"/>
      <c r="AI2599" s="116"/>
    </row>
    <row r="2600" spans="27:35" ht="18">
      <c r="AA2600" s="116"/>
      <c r="AB2600" s="87"/>
      <c r="AC2600" s="116"/>
      <c r="AD2600" s="116"/>
      <c r="AE2600" s="116"/>
      <c r="AF2600" s="116"/>
      <c r="AG2600" s="116"/>
      <c r="AH2600" s="116"/>
      <c r="AI2600" s="116"/>
    </row>
    <row r="2601" spans="27:35" ht="18">
      <c r="AA2601" s="116"/>
      <c r="AB2601" s="87"/>
      <c r="AC2601" s="116"/>
      <c r="AD2601" s="116"/>
      <c r="AE2601" s="116"/>
      <c r="AF2601" s="116"/>
      <c r="AG2601" s="116"/>
      <c r="AH2601" s="116"/>
      <c r="AI2601" s="116"/>
    </row>
    <row r="2602" spans="27:35" ht="18">
      <c r="AA2602" s="116"/>
      <c r="AB2602" s="87"/>
      <c r="AC2602" s="116"/>
      <c r="AD2602" s="116"/>
      <c r="AE2602" s="116"/>
      <c r="AF2602" s="116"/>
      <c r="AG2602" s="116"/>
      <c r="AH2602" s="116"/>
      <c r="AI2602" s="116"/>
    </row>
    <row r="2603" spans="27:35" ht="18">
      <c r="AA2603" s="116"/>
      <c r="AB2603" s="87"/>
      <c r="AC2603" s="116"/>
      <c r="AD2603" s="116"/>
      <c r="AE2603" s="116"/>
      <c r="AF2603" s="116"/>
      <c r="AG2603" s="116"/>
      <c r="AH2603" s="116"/>
      <c r="AI2603" s="116"/>
    </row>
    <row r="2604" spans="27:35" ht="18">
      <c r="AA2604" s="116"/>
      <c r="AB2604" s="184"/>
      <c r="AC2604" s="116"/>
      <c r="AD2604" s="116"/>
      <c r="AE2604" s="116"/>
      <c r="AF2604" s="116"/>
      <c r="AG2604" s="116"/>
      <c r="AH2604" s="116"/>
      <c r="AI2604" s="116"/>
    </row>
    <row r="2605" spans="27:35" ht="18">
      <c r="AA2605" s="116"/>
      <c r="AB2605" s="87"/>
      <c r="AC2605" s="116"/>
      <c r="AD2605" s="116"/>
      <c r="AE2605" s="116"/>
      <c r="AF2605" s="116"/>
      <c r="AG2605" s="116"/>
      <c r="AH2605" s="116"/>
      <c r="AI2605" s="116"/>
    </row>
    <row r="2606" spans="27:35" ht="18">
      <c r="AA2606" s="116"/>
      <c r="AB2606" s="87"/>
      <c r="AC2606" s="116"/>
      <c r="AD2606" s="116"/>
      <c r="AE2606" s="116"/>
      <c r="AF2606" s="116"/>
      <c r="AG2606" s="116"/>
      <c r="AH2606" s="116"/>
      <c r="AI2606" s="116"/>
    </row>
    <row r="2607" spans="27:35" ht="18">
      <c r="AA2607" s="116"/>
      <c r="AB2607" s="87"/>
      <c r="AC2607" s="116"/>
      <c r="AD2607" s="116"/>
      <c r="AE2607" s="116"/>
      <c r="AF2607" s="116"/>
      <c r="AG2607" s="116"/>
      <c r="AH2607" s="116"/>
      <c r="AI2607" s="116"/>
    </row>
    <row r="2608" spans="27:35" ht="18">
      <c r="AA2608" s="116"/>
      <c r="AB2608" s="87"/>
      <c r="AC2608" s="116"/>
      <c r="AD2608" s="116"/>
      <c r="AE2608" s="116"/>
      <c r="AF2608" s="116"/>
      <c r="AG2608" s="116"/>
      <c r="AH2608" s="116"/>
      <c r="AI2608" s="116"/>
    </row>
    <row r="2609" spans="27:35" ht="18">
      <c r="AA2609" s="116"/>
      <c r="AB2609" s="184"/>
      <c r="AC2609" s="116"/>
      <c r="AD2609" s="116"/>
      <c r="AE2609" s="116"/>
      <c r="AF2609" s="116"/>
      <c r="AG2609" s="116"/>
      <c r="AH2609" s="116"/>
      <c r="AI2609" s="116"/>
    </row>
    <row r="2610" spans="27:35" ht="18">
      <c r="AA2610" s="116"/>
      <c r="AB2610" s="87"/>
      <c r="AC2610" s="116"/>
      <c r="AD2610" s="116"/>
      <c r="AE2610" s="116"/>
      <c r="AF2610" s="116"/>
      <c r="AG2610" s="116"/>
      <c r="AH2610" s="116"/>
      <c r="AI2610" s="116"/>
    </row>
    <row r="2611" spans="27:35" ht="18">
      <c r="AA2611" s="116"/>
      <c r="AB2611" s="87"/>
      <c r="AC2611" s="116"/>
      <c r="AD2611" s="116"/>
      <c r="AE2611" s="116"/>
      <c r="AF2611" s="116"/>
      <c r="AG2611" s="116"/>
      <c r="AH2611" s="116"/>
      <c r="AI2611" s="116"/>
    </row>
    <row r="2612" spans="27:35" ht="18">
      <c r="AA2612" s="116"/>
      <c r="AB2612" s="87"/>
      <c r="AC2612" s="116"/>
      <c r="AD2612" s="116"/>
      <c r="AE2612" s="116"/>
      <c r="AF2612" s="116"/>
      <c r="AG2612" s="116"/>
      <c r="AH2612" s="116"/>
      <c r="AI2612" s="116"/>
    </row>
    <row r="2613" spans="27:35" ht="18">
      <c r="AA2613" s="116"/>
      <c r="AB2613" s="87"/>
      <c r="AC2613" s="116"/>
      <c r="AD2613" s="116"/>
      <c r="AE2613" s="116"/>
      <c r="AF2613" s="116"/>
      <c r="AG2613" s="116"/>
      <c r="AH2613" s="116"/>
      <c r="AI2613" s="116"/>
    </row>
    <row r="2614" spans="27:35" ht="18">
      <c r="AA2614" s="116"/>
      <c r="AB2614" s="184"/>
      <c r="AC2614" s="116"/>
      <c r="AD2614" s="116"/>
      <c r="AE2614" s="116"/>
      <c r="AF2614" s="116"/>
      <c r="AG2614" s="116"/>
      <c r="AH2614" s="116"/>
      <c r="AI2614" s="116"/>
    </row>
    <row r="2615" spans="27:35" ht="18">
      <c r="AA2615" s="116"/>
      <c r="AB2615" s="87"/>
      <c r="AC2615" s="116"/>
      <c r="AD2615" s="116"/>
      <c r="AE2615" s="116"/>
      <c r="AF2615" s="116"/>
      <c r="AG2615" s="116"/>
      <c r="AH2615" s="116"/>
      <c r="AI2615" s="116"/>
    </row>
    <row r="2616" spans="27:35" ht="18">
      <c r="AA2616" s="116"/>
      <c r="AB2616" s="87"/>
      <c r="AC2616" s="116"/>
      <c r="AD2616" s="116"/>
      <c r="AE2616" s="116"/>
      <c r="AF2616" s="116"/>
      <c r="AG2616" s="116"/>
      <c r="AH2616" s="116"/>
      <c r="AI2616" s="116"/>
    </row>
    <row r="2617" spans="27:35" ht="18">
      <c r="AA2617" s="116"/>
      <c r="AB2617" s="184"/>
      <c r="AC2617" s="116"/>
      <c r="AD2617" s="116"/>
      <c r="AE2617" s="116"/>
      <c r="AF2617" s="116"/>
      <c r="AG2617" s="116"/>
      <c r="AH2617" s="116"/>
      <c r="AI2617" s="116"/>
    </row>
    <row r="2618" spans="27:35" ht="18">
      <c r="AA2618" s="116"/>
      <c r="AB2618" s="87"/>
      <c r="AC2618" s="116"/>
      <c r="AD2618" s="116"/>
      <c r="AE2618" s="116"/>
      <c r="AF2618" s="116"/>
      <c r="AG2618" s="116"/>
      <c r="AH2618" s="116"/>
      <c r="AI2618" s="116"/>
    </row>
    <row r="2619" spans="27:35" ht="18">
      <c r="AA2619" s="116"/>
      <c r="AB2619" s="87"/>
      <c r="AC2619" s="116"/>
      <c r="AD2619" s="116"/>
      <c r="AE2619" s="116"/>
      <c r="AF2619" s="116"/>
      <c r="AG2619" s="116"/>
      <c r="AH2619" s="116"/>
      <c r="AI2619" s="116"/>
    </row>
    <row r="2620" spans="27:35" ht="18">
      <c r="AA2620" s="116"/>
      <c r="AB2620" s="87"/>
      <c r="AC2620" s="116"/>
      <c r="AD2620" s="116"/>
      <c r="AE2620" s="116"/>
      <c r="AF2620" s="116"/>
      <c r="AG2620" s="116"/>
      <c r="AH2620" s="116"/>
      <c r="AI2620" s="116"/>
    </row>
    <row r="2621" spans="27:35" ht="18">
      <c r="AA2621" s="116"/>
      <c r="AB2621" s="87"/>
      <c r="AC2621" s="116"/>
      <c r="AD2621" s="116"/>
      <c r="AE2621" s="116"/>
      <c r="AF2621" s="116"/>
      <c r="AG2621" s="116"/>
      <c r="AH2621" s="116"/>
      <c r="AI2621" s="116"/>
    </row>
    <row r="2622" spans="27:35" ht="18">
      <c r="AA2622" s="116"/>
      <c r="AB2622" s="184"/>
      <c r="AC2622" s="116"/>
      <c r="AD2622" s="116"/>
      <c r="AE2622" s="116"/>
      <c r="AF2622" s="116"/>
      <c r="AG2622" s="116"/>
      <c r="AH2622" s="116"/>
      <c r="AI2622" s="116"/>
    </row>
    <row r="2623" spans="27:35" ht="18">
      <c r="AA2623" s="116"/>
      <c r="AB2623" s="87"/>
      <c r="AC2623" s="116"/>
      <c r="AD2623" s="116"/>
      <c r="AE2623" s="116"/>
      <c r="AF2623" s="116"/>
      <c r="AG2623" s="116"/>
      <c r="AH2623" s="116"/>
      <c r="AI2623" s="116"/>
    </row>
    <row r="2624" spans="27:35" ht="18">
      <c r="AA2624" s="116"/>
      <c r="AB2624" s="87"/>
      <c r="AC2624" s="116"/>
      <c r="AD2624" s="116"/>
      <c r="AE2624" s="116"/>
      <c r="AF2624" s="116"/>
      <c r="AG2624" s="116"/>
      <c r="AH2624" s="116"/>
      <c r="AI2624" s="116"/>
    </row>
    <row r="2625" spans="27:35" ht="18">
      <c r="AA2625" s="116"/>
      <c r="AB2625" s="87"/>
      <c r="AC2625" s="116"/>
      <c r="AD2625" s="116"/>
      <c r="AE2625" s="116"/>
      <c r="AF2625" s="116"/>
      <c r="AG2625" s="116"/>
      <c r="AH2625" s="116"/>
      <c r="AI2625" s="116"/>
    </row>
    <row r="2626" spans="27:35" ht="18">
      <c r="AA2626" s="116"/>
      <c r="AB2626" s="87"/>
      <c r="AC2626" s="116"/>
      <c r="AD2626" s="116"/>
      <c r="AE2626" s="116"/>
      <c r="AF2626" s="116"/>
      <c r="AG2626" s="116"/>
      <c r="AH2626" s="116"/>
      <c r="AI2626" s="116"/>
    </row>
    <row r="2627" spans="27:35" ht="18">
      <c r="AA2627" s="116"/>
      <c r="AB2627" s="184"/>
      <c r="AC2627" s="116"/>
      <c r="AD2627" s="116"/>
      <c r="AE2627" s="116"/>
      <c r="AF2627" s="116"/>
      <c r="AG2627" s="116"/>
      <c r="AH2627" s="116"/>
      <c r="AI2627" s="116"/>
    </row>
    <row r="2628" spans="27:35" ht="18">
      <c r="AA2628" s="116"/>
      <c r="AB2628" s="87"/>
      <c r="AC2628" s="116"/>
      <c r="AD2628" s="116"/>
      <c r="AE2628" s="116"/>
      <c r="AF2628" s="116"/>
      <c r="AG2628" s="116"/>
      <c r="AH2628" s="116"/>
      <c r="AI2628" s="116"/>
    </row>
    <row r="2629" spans="27:35" ht="18">
      <c r="AA2629" s="116"/>
      <c r="AB2629" s="87"/>
      <c r="AC2629" s="116"/>
      <c r="AD2629" s="116"/>
      <c r="AE2629" s="116"/>
      <c r="AF2629" s="116"/>
      <c r="AG2629" s="116"/>
      <c r="AH2629" s="116"/>
      <c r="AI2629" s="116"/>
    </row>
    <row r="2630" spans="27:35" ht="18">
      <c r="AA2630" s="116"/>
      <c r="AB2630" s="87"/>
      <c r="AC2630" s="116"/>
      <c r="AD2630" s="116"/>
      <c r="AE2630" s="116"/>
      <c r="AF2630" s="116"/>
      <c r="AG2630" s="116"/>
      <c r="AH2630" s="116"/>
      <c r="AI2630" s="116"/>
    </row>
    <row r="2631" spans="27:35" ht="18">
      <c r="AA2631" s="116"/>
      <c r="AB2631" s="87"/>
      <c r="AC2631" s="116"/>
      <c r="AD2631" s="116"/>
      <c r="AE2631" s="116"/>
      <c r="AF2631" s="116"/>
      <c r="AG2631" s="116"/>
      <c r="AH2631" s="116"/>
      <c r="AI2631" s="116"/>
    </row>
    <row r="2632" spans="27:35" ht="18">
      <c r="AA2632" s="116"/>
      <c r="AB2632" s="184"/>
      <c r="AC2632" s="116"/>
      <c r="AD2632" s="116"/>
      <c r="AE2632" s="116"/>
      <c r="AF2632" s="116"/>
      <c r="AG2632" s="116"/>
      <c r="AH2632" s="116"/>
      <c r="AI2632" s="116"/>
    </row>
    <row r="2633" spans="27:35" ht="18">
      <c r="AA2633" s="116"/>
      <c r="AB2633" s="87"/>
      <c r="AC2633" s="116"/>
      <c r="AD2633" s="116"/>
      <c r="AE2633" s="116"/>
      <c r="AF2633" s="116"/>
      <c r="AG2633" s="116"/>
      <c r="AH2633" s="116"/>
      <c r="AI2633" s="116"/>
    </row>
    <row r="2634" spans="27:35" ht="18">
      <c r="AA2634" s="116"/>
      <c r="AB2634" s="87"/>
      <c r="AC2634" s="116"/>
      <c r="AD2634" s="116"/>
      <c r="AE2634" s="116"/>
      <c r="AF2634" s="116"/>
      <c r="AG2634" s="116"/>
      <c r="AH2634" s="116"/>
      <c r="AI2634" s="116"/>
    </row>
    <row r="2635" spans="27:35" ht="18">
      <c r="AA2635" s="116"/>
      <c r="AB2635" s="184"/>
      <c r="AC2635" s="116"/>
      <c r="AD2635" s="116"/>
      <c r="AE2635" s="116"/>
      <c r="AF2635" s="116"/>
      <c r="AG2635" s="116"/>
      <c r="AH2635" s="116"/>
      <c r="AI2635" s="116"/>
    </row>
    <row r="2636" spans="27:35" ht="18">
      <c r="AA2636" s="116"/>
      <c r="AB2636" s="87"/>
      <c r="AC2636" s="116"/>
      <c r="AD2636" s="116"/>
      <c r="AE2636" s="116"/>
      <c r="AF2636" s="116"/>
      <c r="AG2636" s="116"/>
      <c r="AH2636" s="116"/>
      <c r="AI2636" s="116"/>
    </row>
    <row r="2637" spans="27:35" ht="18">
      <c r="AA2637" s="116"/>
      <c r="AB2637" s="87"/>
      <c r="AC2637" s="116"/>
      <c r="AD2637" s="116"/>
      <c r="AE2637" s="116"/>
      <c r="AF2637" s="116"/>
      <c r="AG2637" s="116"/>
      <c r="AH2637" s="116"/>
      <c r="AI2637" s="116"/>
    </row>
    <row r="2638" spans="27:35" ht="18">
      <c r="AA2638" s="116"/>
      <c r="AB2638" s="87"/>
      <c r="AC2638" s="116"/>
      <c r="AD2638" s="116"/>
      <c r="AE2638" s="116"/>
      <c r="AF2638" s="116"/>
      <c r="AG2638" s="116"/>
      <c r="AH2638" s="116"/>
      <c r="AI2638" s="116"/>
    </row>
    <row r="2639" spans="27:35" ht="18">
      <c r="AA2639" s="116"/>
      <c r="AB2639" s="87"/>
      <c r="AC2639" s="116"/>
      <c r="AD2639" s="116"/>
      <c r="AE2639" s="116"/>
      <c r="AF2639" s="116"/>
      <c r="AG2639" s="116"/>
      <c r="AH2639" s="116"/>
      <c r="AI2639" s="116"/>
    </row>
    <row r="2640" spans="27:35" ht="18">
      <c r="AA2640" s="116"/>
      <c r="AB2640" s="184"/>
      <c r="AC2640" s="116"/>
      <c r="AD2640" s="116"/>
      <c r="AE2640" s="116"/>
      <c r="AF2640" s="116"/>
      <c r="AG2640" s="116"/>
      <c r="AH2640" s="116"/>
      <c r="AI2640" s="116"/>
    </row>
    <row r="2641" spans="27:35" ht="18">
      <c r="AA2641" s="116"/>
      <c r="AB2641" s="87"/>
      <c r="AC2641" s="116"/>
      <c r="AD2641" s="116"/>
      <c r="AE2641" s="116"/>
      <c r="AF2641" s="116"/>
      <c r="AG2641" s="116"/>
      <c r="AH2641" s="116"/>
      <c r="AI2641" s="116"/>
    </row>
    <row r="2642" spans="27:35" ht="18">
      <c r="AA2642" s="116"/>
      <c r="AB2642" s="87"/>
      <c r="AC2642" s="116"/>
      <c r="AD2642" s="116"/>
      <c r="AE2642" s="116"/>
      <c r="AF2642" s="116"/>
      <c r="AG2642" s="116"/>
      <c r="AH2642" s="116"/>
      <c r="AI2642" s="116"/>
    </row>
    <row r="2643" spans="27:35" ht="18">
      <c r="AA2643" s="116"/>
      <c r="AB2643" s="87"/>
      <c r="AC2643" s="116"/>
      <c r="AD2643" s="116"/>
      <c r="AE2643" s="116"/>
      <c r="AF2643" s="116"/>
      <c r="AG2643" s="116"/>
      <c r="AH2643" s="116"/>
      <c r="AI2643" s="116"/>
    </row>
    <row r="2644" spans="27:35" ht="18">
      <c r="AA2644" s="116"/>
      <c r="AB2644" s="87"/>
      <c r="AC2644" s="116"/>
      <c r="AD2644" s="116"/>
      <c r="AE2644" s="116"/>
      <c r="AF2644" s="116"/>
      <c r="AG2644" s="116"/>
      <c r="AH2644" s="116"/>
      <c r="AI2644" s="116"/>
    </row>
    <row r="2645" spans="27:35" ht="18">
      <c r="AA2645" s="116"/>
      <c r="AB2645" s="184"/>
      <c r="AC2645" s="116"/>
      <c r="AD2645" s="116"/>
      <c r="AE2645" s="116"/>
      <c r="AF2645" s="116"/>
      <c r="AG2645" s="116"/>
      <c r="AH2645" s="116"/>
      <c r="AI2645" s="116"/>
    </row>
    <row r="2646" spans="27:35" ht="18">
      <c r="AA2646" s="116"/>
      <c r="AB2646" s="87"/>
      <c r="AC2646" s="116"/>
      <c r="AD2646" s="116"/>
      <c r="AE2646" s="116"/>
      <c r="AF2646" s="116"/>
      <c r="AG2646" s="116"/>
      <c r="AH2646" s="116"/>
      <c r="AI2646" s="116"/>
    </row>
    <row r="2647" spans="27:35" ht="18">
      <c r="AA2647" s="116"/>
      <c r="AB2647" s="87"/>
      <c r="AC2647" s="116"/>
      <c r="AD2647" s="116"/>
      <c r="AE2647" s="116"/>
      <c r="AF2647" s="116"/>
      <c r="AG2647" s="116"/>
      <c r="AH2647" s="116"/>
      <c r="AI2647" s="116"/>
    </row>
    <row r="2648" spans="27:35" ht="18">
      <c r="AA2648" s="116"/>
      <c r="AB2648" s="87"/>
      <c r="AC2648" s="116"/>
      <c r="AD2648" s="116"/>
      <c r="AE2648" s="116"/>
      <c r="AF2648" s="116"/>
      <c r="AG2648" s="116"/>
      <c r="AH2648" s="116"/>
      <c r="AI2648" s="116"/>
    </row>
    <row r="2649" spans="27:35" ht="18">
      <c r="AA2649" s="116"/>
      <c r="AB2649" s="87"/>
      <c r="AC2649" s="116"/>
      <c r="AD2649" s="116"/>
      <c r="AE2649" s="116"/>
      <c r="AF2649" s="116"/>
      <c r="AG2649" s="116"/>
      <c r="AH2649" s="116"/>
      <c r="AI2649" s="116"/>
    </row>
    <row r="2650" spans="27:35" ht="18">
      <c r="AA2650" s="116"/>
      <c r="AB2650" s="184"/>
      <c r="AC2650" s="116"/>
      <c r="AD2650" s="116"/>
      <c r="AE2650" s="116"/>
      <c r="AF2650" s="116"/>
      <c r="AG2650" s="116"/>
      <c r="AH2650" s="116"/>
      <c r="AI2650" s="116"/>
    </row>
    <row r="2651" spans="27:35" ht="18">
      <c r="AA2651" s="116"/>
      <c r="AB2651" s="87"/>
      <c r="AC2651" s="116"/>
      <c r="AD2651" s="116"/>
      <c r="AE2651" s="116"/>
      <c r="AF2651" s="116"/>
      <c r="AG2651" s="116"/>
      <c r="AH2651" s="116"/>
      <c r="AI2651" s="116"/>
    </row>
    <row r="2652" spans="27:35" ht="18">
      <c r="AA2652" s="116"/>
      <c r="AB2652" s="87"/>
      <c r="AC2652" s="116"/>
      <c r="AD2652" s="116"/>
      <c r="AE2652" s="116"/>
      <c r="AF2652" s="116"/>
      <c r="AG2652" s="116"/>
      <c r="AH2652" s="116"/>
      <c r="AI2652" s="116"/>
    </row>
    <row r="2653" spans="27:35" ht="18">
      <c r="AA2653" s="116"/>
      <c r="AB2653" s="87"/>
      <c r="AC2653" s="116"/>
      <c r="AD2653" s="116"/>
      <c r="AE2653" s="116"/>
      <c r="AF2653" s="116"/>
      <c r="AG2653" s="116"/>
      <c r="AH2653" s="116"/>
      <c r="AI2653" s="116"/>
    </row>
    <row r="2654" spans="27:35" ht="18">
      <c r="AA2654" s="116"/>
      <c r="AB2654" s="87"/>
      <c r="AC2654" s="116"/>
      <c r="AD2654" s="116"/>
      <c r="AE2654" s="116"/>
      <c r="AF2654" s="116"/>
      <c r="AG2654" s="116"/>
      <c r="AH2654" s="116"/>
      <c r="AI2654" s="116"/>
    </row>
    <row r="2655" spans="27:35" ht="18">
      <c r="AA2655" s="116"/>
      <c r="AB2655" s="184"/>
      <c r="AC2655" s="116"/>
      <c r="AD2655" s="116"/>
      <c r="AE2655" s="116"/>
      <c r="AF2655" s="116"/>
      <c r="AG2655" s="116"/>
      <c r="AH2655" s="116"/>
      <c r="AI2655" s="116"/>
    </row>
    <row r="2656" spans="27:35" ht="18">
      <c r="AA2656" s="116"/>
      <c r="AB2656" s="87"/>
      <c r="AC2656" s="116"/>
      <c r="AD2656" s="116"/>
      <c r="AE2656" s="116"/>
      <c r="AF2656" s="116"/>
      <c r="AG2656" s="116"/>
      <c r="AH2656" s="116"/>
      <c r="AI2656" s="116"/>
    </row>
    <row r="2657" spans="27:35" ht="18">
      <c r="AA2657" s="116"/>
      <c r="AB2657" s="87"/>
      <c r="AC2657" s="116"/>
      <c r="AD2657" s="116"/>
      <c r="AE2657" s="116"/>
      <c r="AF2657" s="116"/>
      <c r="AG2657" s="116"/>
      <c r="AH2657" s="116"/>
      <c r="AI2657" s="116"/>
    </row>
    <row r="2658" spans="27:35" ht="18">
      <c r="AA2658" s="116"/>
      <c r="AB2658" s="87"/>
      <c r="AC2658" s="116"/>
      <c r="AD2658" s="116"/>
      <c r="AE2658" s="116"/>
      <c r="AF2658" s="116"/>
      <c r="AG2658" s="116"/>
      <c r="AH2658" s="116"/>
      <c r="AI2658" s="116"/>
    </row>
    <row r="2659" spans="27:35" ht="18">
      <c r="AA2659" s="116"/>
      <c r="AB2659" s="87"/>
      <c r="AC2659" s="116"/>
      <c r="AD2659" s="116"/>
      <c r="AE2659" s="116"/>
      <c r="AF2659" s="116"/>
      <c r="AG2659" s="116"/>
      <c r="AH2659" s="116"/>
      <c r="AI2659" s="116"/>
    </row>
    <row r="2660" spans="27:35" ht="18">
      <c r="AA2660" s="116"/>
      <c r="AB2660" s="184"/>
      <c r="AC2660" s="116"/>
      <c r="AD2660" s="116"/>
      <c r="AE2660" s="116"/>
      <c r="AF2660" s="116"/>
      <c r="AG2660" s="116"/>
      <c r="AH2660" s="116"/>
      <c r="AI2660" s="116"/>
    </row>
    <row r="2661" spans="27:35" ht="18">
      <c r="AA2661" s="116"/>
      <c r="AB2661" s="87"/>
      <c r="AC2661" s="116"/>
      <c r="AD2661" s="116"/>
      <c r="AE2661" s="116"/>
      <c r="AF2661" s="116"/>
      <c r="AG2661" s="116"/>
      <c r="AH2661" s="116"/>
      <c r="AI2661" s="116"/>
    </row>
    <row r="2662" spans="27:35" ht="18">
      <c r="AA2662" s="116"/>
      <c r="AB2662" s="87"/>
      <c r="AC2662" s="116"/>
      <c r="AD2662" s="116"/>
      <c r="AE2662" s="116"/>
      <c r="AF2662" s="116"/>
      <c r="AG2662" s="116"/>
      <c r="AH2662" s="116"/>
      <c r="AI2662" s="116"/>
    </row>
    <row r="2663" spans="27:35" ht="18">
      <c r="AA2663" s="116"/>
      <c r="AB2663" s="87"/>
      <c r="AC2663" s="116"/>
      <c r="AD2663" s="116"/>
      <c r="AE2663" s="116"/>
      <c r="AF2663" s="116"/>
      <c r="AG2663" s="116"/>
      <c r="AH2663" s="116"/>
      <c r="AI2663" s="116"/>
    </row>
    <row r="2664" spans="27:35" ht="18">
      <c r="AA2664" s="116"/>
      <c r="AB2664" s="87"/>
      <c r="AC2664" s="116"/>
      <c r="AD2664" s="116"/>
      <c r="AE2664" s="116"/>
      <c r="AF2664" s="116"/>
      <c r="AG2664" s="116"/>
      <c r="AH2664" s="116"/>
      <c r="AI2664" s="116"/>
    </row>
    <row r="2665" spans="27:35" ht="18">
      <c r="AA2665" s="116"/>
      <c r="AB2665" s="184"/>
      <c r="AC2665" s="116"/>
      <c r="AD2665" s="116"/>
      <c r="AE2665" s="116"/>
      <c r="AF2665" s="116"/>
      <c r="AG2665" s="116"/>
      <c r="AH2665" s="116"/>
      <c r="AI2665" s="116"/>
    </row>
    <row r="2666" spans="27:35" ht="18">
      <c r="AA2666" s="116"/>
      <c r="AB2666" s="87"/>
      <c r="AC2666" s="116"/>
      <c r="AD2666" s="116"/>
      <c r="AE2666" s="116"/>
      <c r="AF2666" s="116"/>
      <c r="AG2666" s="116"/>
      <c r="AH2666" s="116"/>
      <c r="AI2666" s="116"/>
    </row>
    <row r="2667" spans="27:35" ht="18">
      <c r="AA2667" s="116"/>
      <c r="AB2667" s="87"/>
      <c r="AC2667" s="116"/>
      <c r="AD2667" s="116"/>
      <c r="AE2667" s="116"/>
      <c r="AF2667" s="116"/>
      <c r="AG2667" s="116"/>
      <c r="AH2667" s="116"/>
      <c r="AI2667" s="116"/>
    </row>
    <row r="2668" spans="27:35" ht="18">
      <c r="AA2668" s="116"/>
      <c r="AB2668" s="184"/>
      <c r="AC2668" s="116"/>
      <c r="AD2668" s="116"/>
      <c r="AE2668" s="116"/>
      <c r="AF2668" s="116"/>
      <c r="AG2668" s="116"/>
      <c r="AH2668" s="116"/>
      <c r="AI2668" s="116"/>
    </row>
    <row r="2669" spans="27:35" ht="18">
      <c r="AA2669" s="116"/>
      <c r="AB2669" s="87"/>
      <c r="AC2669" s="116"/>
      <c r="AD2669" s="116"/>
      <c r="AE2669" s="116"/>
      <c r="AF2669" s="116"/>
      <c r="AG2669" s="116"/>
      <c r="AH2669" s="116"/>
      <c r="AI2669" s="116"/>
    </row>
    <row r="2670" spans="27:35" ht="18">
      <c r="AA2670" s="116"/>
      <c r="AB2670" s="87"/>
      <c r="AC2670" s="116"/>
      <c r="AD2670" s="116"/>
      <c r="AE2670" s="116"/>
      <c r="AF2670" s="116"/>
      <c r="AG2670" s="116"/>
      <c r="AH2670" s="116"/>
      <c r="AI2670" s="116"/>
    </row>
    <row r="2671" spans="27:35" ht="18">
      <c r="AA2671" s="116"/>
      <c r="AB2671" s="87"/>
      <c r="AC2671" s="116"/>
      <c r="AD2671" s="116"/>
      <c r="AE2671" s="116"/>
      <c r="AF2671" s="116"/>
      <c r="AG2671" s="116"/>
      <c r="AH2671" s="116"/>
      <c r="AI2671" s="116"/>
    </row>
    <row r="2672" spans="27:35" ht="18">
      <c r="AA2672" s="116"/>
      <c r="AB2672" s="87"/>
      <c r="AC2672" s="116"/>
      <c r="AD2672" s="116"/>
      <c r="AE2672" s="116"/>
      <c r="AF2672" s="116"/>
      <c r="AG2672" s="116"/>
      <c r="AH2672" s="116"/>
      <c r="AI2672" s="116"/>
    </row>
    <row r="2673" spans="27:35" ht="18">
      <c r="AA2673" s="116"/>
      <c r="AB2673" s="184"/>
      <c r="AC2673" s="116"/>
      <c r="AD2673" s="116"/>
      <c r="AE2673" s="116"/>
      <c r="AF2673" s="116"/>
      <c r="AG2673" s="116"/>
      <c r="AH2673" s="116"/>
      <c r="AI2673" s="116"/>
    </row>
    <row r="2674" spans="27:35" ht="18">
      <c r="AA2674" s="116"/>
      <c r="AB2674" s="87"/>
      <c r="AC2674" s="116"/>
      <c r="AD2674" s="116"/>
      <c r="AE2674" s="116"/>
      <c r="AF2674" s="116"/>
      <c r="AG2674" s="116"/>
      <c r="AH2674" s="116"/>
      <c r="AI2674" s="116"/>
    </row>
    <row r="2675" spans="27:35" ht="18">
      <c r="AA2675" s="116"/>
      <c r="AB2675" s="87"/>
      <c r="AC2675" s="116"/>
      <c r="AD2675" s="116"/>
      <c r="AE2675" s="116"/>
      <c r="AF2675" s="116"/>
      <c r="AG2675" s="116"/>
      <c r="AH2675" s="116"/>
      <c r="AI2675" s="116"/>
    </row>
    <row r="2676" spans="27:35" ht="18">
      <c r="AA2676" s="116"/>
      <c r="AB2676" s="87"/>
      <c r="AC2676" s="116"/>
      <c r="AD2676" s="116"/>
      <c r="AE2676" s="116"/>
      <c r="AF2676" s="116"/>
      <c r="AG2676" s="116"/>
      <c r="AH2676" s="116"/>
      <c r="AI2676" s="116"/>
    </row>
    <row r="2677" spans="27:35" ht="18">
      <c r="AA2677" s="116"/>
      <c r="AB2677" s="87"/>
      <c r="AC2677" s="116"/>
      <c r="AD2677" s="116"/>
      <c r="AE2677" s="116"/>
      <c r="AF2677" s="116"/>
      <c r="AG2677" s="116"/>
      <c r="AH2677" s="116"/>
      <c r="AI2677" s="116"/>
    </row>
    <row r="2678" spans="27:35" ht="18">
      <c r="AA2678" s="116"/>
      <c r="AB2678" s="184"/>
      <c r="AC2678" s="116"/>
      <c r="AD2678" s="116"/>
      <c r="AE2678" s="116"/>
      <c r="AF2678" s="116"/>
      <c r="AG2678" s="116"/>
      <c r="AH2678" s="116"/>
      <c r="AI2678" s="116"/>
    </row>
    <row r="2679" spans="27:35" ht="18">
      <c r="AA2679" s="116"/>
      <c r="AB2679" s="87"/>
      <c r="AC2679" s="116"/>
      <c r="AD2679" s="116"/>
      <c r="AE2679" s="116"/>
      <c r="AF2679" s="116"/>
      <c r="AG2679" s="116"/>
      <c r="AH2679" s="116"/>
      <c r="AI2679" s="116"/>
    </row>
    <row r="2680" spans="27:35" ht="18">
      <c r="AA2680" s="116"/>
      <c r="AB2680" s="87"/>
      <c r="AC2680" s="116"/>
      <c r="AD2680" s="116"/>
      <c r="AE2680" s="116"/>
      <c r="AF2680" s="116"/>
      <c r="AG2680" s="116"/>
      <c r="AH2680" s="116"/>
      <c r="AI2680" s="116"/>
    </row>
    <row r="2681" spans="27:35" ht="18">
      <c r="AA2681" s="116"/>
      <c r="AB2681" s="87"/>
      <c r="AC2681" s="116"/>
      <c r="AD2681" s="116"/>
      <c r="AE2681" s="116"/>
      <c r="AF2681" s="116"/>
      <c r="AG2681" s="116"/>
      <c r="AH2681" s="116"/>
      <c r="AI2681" s="116"/>
    </row>
    <row r="2682" spans="27:35" ht="18">
      <c r="AA2682" s="116"/>
      <c r="AB2682" s="87"/>
      <c r="AC2682" s="116"/>
      <c r="AD2682" s="116"/>
      <c r="AE2682" s="116"/>
      <c r="AF2682" s="116"/>
      <c r="AG2682" s="116"/>
      <c r="AH2682" s="116"/>
      <c r="AI2682" s="116"/>
    </row>
    <row r="2683" spans="27:35" ht="18">
      <c r="AA2683" s="116"/>
      <c r="AB2683" s="184"/>
      <c r="AC2683" s="116"/>
      <c r="AD2683" s="116"/>
      <c r="AE2683" s="116"/>
      <c r="AF2683" s="116"/>
      <c r="AG2683" s="116"/>
      <c r="AH2683" s="116"/>
      <c r="AI2683" s="116"/>
    </row>
    <row r="2684" spans="27:35" ht="18">
      <c r="AA2684" s="116"/>
      <c r="AB2684" s="87"/>
      <c r="AC2684" s="116"/>
      <c r="AD2684" s="116"/>
      <c r="AE2684" s="116"/>
      <c r="AF2684" s="116"/>
      <c r="AG2684" s="116"/>
      <c r="AH2684" s="116"/>
      <c r="AI2684" s="116"/>
    </row>
    <row r="2685" spans="27:35" ht="18">
      <c r="AA2685" s="116"/>
      <c r="AB2685" s="87"/>
      <c r="AC2685" s="116"/>
      <c r="AD2685" s="116"/>
      <c r="AE2685" s="116"/>
      <c r="AF2685" s="116"/>
      <c r="AG2685" s="116"/>
      <c r="AH2685" s="116"/>
      <c r="AI2685" s="116"/>
    </row>
    <row r="2686" spans="27:35" ht="18">
      <c r="AA2686" s="116"/>
      <c r="AB2686" s="87"/>
      <c r="AC2686" s="116"/>
      <c r="AD2686" s="116"/>
      <c r="AE2686" s="116"/>
      <c r="AF2686" s="116"/>
      <c r="AG2686" s="116"/>
      <c r="AH2686" s="116"/>
      <c r="AI2686" s="116"/>
    </row>
    <row r="2687" spans="27:35" ht="18">
      <c r="AA2687" s="116"/>
      <c r="AB2687" s="87"/>
      <c r="AC2687" s="116"/>
      <c r="AD2687" s="116"/>
      <c r="AE2687" s="116"/>
      <c r="AF2687" s="116"/>
      <c r="AG2687" s="116"/>
      <c r="AH2687" s="116"/>
      <c r="AI2687" s="116"/>
    </row>
    <row r="2688" spans="27:35" ht="18">
      <c r="AA2688" s="116"/>
      <c r="AB2688" s="184"/>
      <c r="AC2688" s="116"/>
      <c r="AD2688" s="116"/>
      <c r="AE2688" s="116"/>
      <c r="AF2688" s="116"/>
      <c r="AG2688" s="116"/>
      <c r="AH2688" s="116"/>
      <c r="AI2688" s="116"/>
    </row>
    <row r="2689" spans="27:35" ht="18">
      <c r="AA2689" s="116"/>
      <c r="AB2689" s="87"/>
      <c r="AC2689" s="116"/>
      <c r="AD2689" s="116"/>
      <c r="AE2689" s="116"/>
      <c r="AF2689" s="116"/>
      <c r="AG2689" s="116"/>
      <c r="AH2689" s="116"/>
      <c r="AI2689" s="116"/>
    </row>
    <row r="2690" spans="27:35" ht="18">
      <c r="AA2690" s="116"/>
      <c r="AB2690" s="87"/>
      <c r="AC2690" s="116"/>
      <c r="AD2690" s="116"/>
      <c r="AE2690" s="116"/>
      <c r="AF2690" s="116"/>
      <c r="AG2690" s="116"/>
      <c r="AH2690" s="116"/>
      <c r="AI2690" s="116"/>
    </row>
    <row r="2691" spans="27:35" ht="18">
      <c r="AA2691" s="116"/>
      <c r="AB2691" s="87"/>
      <c r="AC2691" s="116"/>
      <c r="AD2691" s="116"/>
      <c r="AE2691" s="116"/>
      <c r="AF2691" s="116"/>
      <c r="AG2691" s="116"/>
      <c r="AH2691" s="116"/>
      <c r="AI2691" s="116"/>
    </row>
    <row r="2692" spans="27:35" ht="18">
      <c r="AA2692" s="116"/>
      <c r="AB2692" s="87"/>
      <c r="AC2692" s="116"/>
      <c r="AD2692" s="116"/>
      <c r="AE2692" s="116"/>
      <c r="AF2692" s="116"/>
      <c r="AG2692" s="116"/>
      <c r="AH2692" s="116"/>
      <c r="AI2692" s="116"/>
    </row>
    <row r="2693" spans="27:35" ht="18">
      <c r="AA2693" s="116"/>
      <c r="AB2693" s="184"/>
      <c r="AC2693" s="116"/>
      <c r="AD2693" s="116"/>
      <c r="AE2693" s="116"/>
      <c r="AF2693" s="116"/>
      <c r="AG2693" s="116"/>
      <c r="AH2693" s="116"/>
      <c r="AI2693" s="116"/>
    </row>
    <row r="2694" spans="27:35" ht="18">
      <c r="AA2694" s="116"/>
      <c r="AB2694" s="87"/>
      <c r="AC2694" s="116"/>
      <c r="AD2694" s="116"/>
      <c r="AE2694" s="116"/>
      <c r="AF2694" s="116"/>
      <c r="AG2694" s="116"/>
      <c r="AH2694" s="116"/>
      <c r="AI2694" s="116"/>
    </row>
    <row r="2695" spans="27:35" ht="18">
      <c r="AA2695" s="116"/>
      <c r="AB2695" s="87"/>
      <c r="AC2695" s="116"/>
      <c r="AD2695" s="116"/>
      <c r="AE2695" s="116"/>
      <c r="AF2695" s="116"/>
      <c r="AG2695" s="116"/>
      <c r="AH2695" s="116"/>
      <c r="AI2695" s="116"/>
    </row>
    <row r="2696" spans="27:35" ht="18">
      <c r="AA2696" s="116"/>
      <c r="AB2696" s="87"/>
      <c r="AC2696" s="116"/>
      <c r="AD2696" s="116"/>
      <c r="AE2696" s="116"/>
      <c r="AF2696" s="116"/>
      <c r="AG2696" s="116"/>
      <c r="AH2696" s="116"/>
      <c r="AI2696" s="116"/>
    </row>
    <row r="2697" spans="27:35" ht="18">
      <c r="AA2697" s="116"/>
      <c r="AB2697" s="87"/>
      <c r="AC2697" s="116"/>
      <c r="AD2697" s="116"/>
      <c r="AE2697" s="116"/>
      <c r="AF2697" s="116"/>
      <c r="AG2697" s="116"/>
      <c r="AH2697" s="116"/>
      <c r="AI2697" s="116"/>
    </row>
    <row r="2698" spans="27:35" ht="18">
      <c r="AA2698" s="116"/>
      <c r="AB2698" s="184"/>
      <c r="AC2698" s="116"/>
      <c r="AD2698" s="116"/>
      <c r="AE2698" s="116"/>
      <c r="AF2698" s="116"/>
      <c r="AG2698" s="116"/>
      <c r="AH2698" s="116"/>
      <c r="AI2698" s="116"/>
    </row>
    <row r="2699" spans="27:35" ht="18">
      <c r="AA2699" s="116"/>
      <c r="AB2699" s="87"/>
      <c r="AC2699" s="116"/>
      <c r="AD2699" s="116"/>
      <c r="AE2699" s="116"/>
      <c r="AF2699" s="116"/>
      <c r="AG2699" s="116"/>
      <c r="AH2699" s="116"/>
      <c r="AI2699" s="116"/>
    </row>
    <row r="2700" spans="27:35" ht="18">
      <c r="AA2700" s="116"/>
      <c r="AB2700" s="87"/>
      <c r="AC2700" s="116"/>
      <c r="AD2700" s="116"/>
      <c r="AE2700" s="116"/>
      <c r="AF2700" s="116"/>
      <c r="AG2700" s="116"/>
      <c r="AH2700" s="116"/>
      <c r="AI2700" s="116"/>
    </row>
    <row r="2701" spans="27:35" ht="18">
      <c r="AA2701" s="116"/>
      <c r="AB2701" s="87"/>
      <c r="AC2701" s="116"/>
      <c r="AD2701" s="116"/>
      <c r="AE2701" s="116"/>
      <c r="AF2701" s="116"/>
      <c r="AG2701" s="116"/>
      <c r="AH2701" s="116"/>
      <c r="AI2701" s="116"/>
    </row>
    <row r="2702" spans="27:35" ht="18">
      <c r="AA2702" s="116"/>
      <c r="AB2702" s="87"/>
      <c r="AC2702" s="116"/>
      <c r="AD2702" s="116"/>
      <c r="AE2702" s="116"/>
      <c r="AF2702" s="116"/>
      <c r="AG2702" s="116"/>
      <c r="AH2702" s="116"/>
      <c r="AI2702" s="116"/>
    </row>
    <row r="2703" spans="27:35" ht="18">
      <c r="AA2703" s="116"/>
      <c r="AB2703" s="184"/>
      <c r="AC2703" s="116"/>
      <c r="AD2703" s="116"/>
      <c r="AE2703" s="116"/>
      <c r="AF2703" s="116"/>
      <c r="AG2703" s="116"/>
      <c r="AH2703" s="116"/>
      <c r="AI2703" s="116"/>
    </row>
    <row r="2704" spans="27:35" ht="18">
      <c r="AA2704" s="116"/>
      <c r="AB2704" s="87"/>
      <c r="AC2704" s="116"/>
      <c r="AD2704" s="116"/>
      <c r="AE2704" s="116"/>
      <c r="AF2704" s="116"/>
      <c r="AG2704" s="116"/>
      <c r="AH2704" s="116"/>
      <c r="AI2704" s="116"/>
    </row>
    <row r="2705" spans="27:35" ht="18">
      <c r="AA2705" s="116"/>
      <c r="AB2705" s="87"/>
      <c r="AC2705" s="116"/>
      <c r="AD2705" s="116"/>
      <c r="AE2705" s="116"/>
      <c r="AF2705" s="116"/>
      <c r="AG2705" s="116"/>
      <c r="AH2705" s="116"/>
      <c r="AI2705" s="116"/>
    </row>
    <row r="2706" spans="27:35" ht="18">
      <c r="AA2706" s="116"/>
      <c r="AB2706" s="184"/>
      <c r="AC2706" s="116"/>
      <c r="AD2706" s="116"/>
      <c r="AE2706" s="116"/>
      <c r="AF2706" s="116"/>
      <c r="AG2706" s="116"/>
      <c r="AH2706" s="116"/>
      <c r="AI2706" s="116"/>
    </row>
    <row r="2707" spans="27:35" ht="18">
      <c r="AA2707" s="116"/>
      <c r="AB2707" s="87"/>
      <c r="AC2707" s="116"/>
      <c r="AD2707" s="116"/>
      <c r="AE2707" s="116"/>
      <c r="AF2707" s="116"/>
      <c r="AG2707" s="116"/>
      <c r="AH2707" s="116"/>
      <c r="AI2707" s="116"/>
    </row>
    <row r="2708" spans="27:35" ht="18">
      <c r="AA2708" s="116"/>
      <c r="AB2708" s="87"/>
      <c r="AC2708" s="116"/>
      <c r="AD2708" s="116"/>
      <c r="AE2708" s="116"/>
      <c r="AF2708" s="116"/>
      <c r="AG2708" s="116"/>
      <c r="AH2708" s="116"/>
      <c r="AI2708" s="116"/>
    </row>
    <row r="2709" spans="27:35" ht="18">
      <c r="AA2709" s="116"/>
      <c r="AB2709" s="87"/>
      <c r="AC2709" s="116"/>
      <c r="AD2709" s="116"/>
      <c r="AE2709" s="116"/>
      <c r="AF2709" s="116"/>
      <c r="AG2709" s="116"/>
      <c r="AH2709" s="116"/>
      <c r="AI2709" s="116"/>
    </row>
    <row r="2710" spans="27:35" ht="18">
      <c r="AA2710" s="116"/>
      <c r="AB2710" s="87"/>
      <c r="AC2710" s="116"/>
      <c r="AD2710" s="116"/>
      <c r="AE2710" s="116"/>
      <c r="AF2710" s="116"/>
      <c r="AG2710" s="116"/>
      <c r="AH2710" s="116"/>
      <c r="AI2710" s="116"/>
    </row>
    <row r="2711" spans="27:35" ht="18">
      <c r="AA2711" s="116"/>
      <c r="AB2711" s="87"/>
      <c r="AC2711" s="116"/>
      <c r="AD2711" s="116"/>
      <c r="AE2711" s="116"/>
      <c r="AF2711" s="116"/>
      <c r="AG2711" s="116"/>
      <c r="AH2711" s="116"/>
      <c r="AI2711" s="116"/>
    </row>
    <row r="2712" spans="27:35" ht="18">
      <c r="AA2712" s="116"/>
      <c r="AB2712" s="87"/>
      <c r="AC2712" s="116"/>
      <c r="AD2712" s="116"/>
      <c r="AE2712" s="116"/>
      <c r="AF2712" s="116"/>
      <c r="AG2712" s="116"/>
      <c r="AH2712" s="116"/>
      <c r="AI2712" s="116"/>
    </row>
    <row r="2713" spans="27:35" ht="18">
      <c r="AA2713" s="116"/>
      <c r="AB2713" s="87"/>
      <c r="AC2713" s="116"/>
      <c r="AD2713" s="116"/>
      <c r="AE2713" s="116"/>
      <c r="AF2713" s="116"/>
      <c r="AG2713" s="116"/>
      <c r="AH2713" s="116"/>
      <c r="AI2713" s="116"/>
    </row>
    <row r="2714" spans="27:35" ht="18">
      <c r="AA2714" s="116"/>
      <c r="AB2714" s="87"/>
      <c r="AC2714" s="116"/>
      <c r="AD2714" s="116"/>
      <c r="AE2714" s="116"/>
      <c r="AF2714" s="116"/>
      <c r="AG2714" s="116"/>
      <c r="AH2714" s="116"/>
      <c r="AI2714" s="116"/>
    </row>
    <row r="2715" spans="27:35" ht="18">
      <c r="AA2715" s="116"/>
      <c r="AB2715" s="87"/>
      <c r="AC2715" s="116"/>
      <c r="AD2715" s="116"/>
      <c r="AE2715" s="116"/>
      <c r="AF2715" s="116"/>
      <c r="AG2715" s="116"/>
      <c r="AH2715" s="116"/>
      <c r="AI2715" s="116"/>
    </row>
    <row r="2716" spans="27:35" ht="18">
      <c r="AA2716" s="116"/>
      <c r="AB2716" s="87"/>
      <c r="AC2716" s="116"/>
      <c r="AD2716" s="116"/>
      <c r="AE2716" s="116"/>
      <c r="AF2716" s="116"/>
      <c r="AG2716" s="116"/>
      <c r="AH2716" s="116"/>
      <c r="AI2716" s="116"/>
    </row>
    <row r="2717" spans="27:35" ht="18">
      <c r="AA2717" s="116"/>
      <c r="AB2717" s="87"/>
      <c r="AC2717" s="116"/>
      <c r="AD2717" s="116"/>
      <c r="AE2717" s="116"/>
      <c r="AF2717" s="116"/>
      <c r="AG2717" s="116"/>
      <c r="AH2717" s="116"/>
      <c r="AI2717" s="116"/>
    </row>
    <row r="2718" spans="27:35" ht="18">
      <c r="AA2718" s="116"/>
      <c r="AB2718" s="87"/>
      <c r="AC2718" s="116"/>
      <c r="AD2718" s="116"/>
      <c r="AE2718" s="116"/>
      <c r="AF2718" s="116"/>
      <c r="AG2718" s="116"/>
      <c r="AH2718" s="116"/>
      <c r="AI2718" s="116"/>
    </row>
    <row r="2719" spans="27:35" ht="18">
      <c r="AA2719" s="116"/>
      <c r="AB2719" s="87"/>
      <c r="AC2719" s="116"/>
      <c r="AD2719" s="116"/>
      <c r="AE2719" s="116"/>
      <c r="AF2719" s="116"/>
      <c r="AG2719" s="116"/>
      <c r="AH2719" s="116"/>
      <c r="AI2719" s="116"/>
    </row>
    <row r="2720" spans="27:35" ht="18">
      <c r="AA2720" s="116"/>
      <c r="AB2720" s="87"/>
      <c r="AC2720" s="116"/>
      <c r="AD2720" s="116"/>
      <c r="AE2720" s="116"/>
      <c r="AF2720" s="116"/>
      <c r="AG2720" s="116"/>
      <c r="AH2720" s="116"/>
      <c r="AI2720" s="116"/>
    </row>
    <row r="2721" spans="27:35" ht="18">
      <c r="AA2721" s="116"/>
      <c r="AB2721" s="184"/>
      <c r="AC2721" s="116"/>
      <c r="AD2721" s="116"/>
      <c r="AE2721" s="116"/>
      <c r="AF2721" s="116"/>
      <c r="AG2721" s="116"/>
      <c r="AH2721" s="116"/>
      <c r="AI2721" s="116"/>
    </row>
    <row r="2722" spans="27:35" ht="18">
      <c r="AA2722" s="116"/>
      <c r="AB2722" s="87"/>
      <c r="AC2722" s="116"/>
      <c r="AD2722" s="116"/>
      <c r="AE2722" s="116"/>
      <c r="AF2722" s="116"/>
      <c r="AG2722" s="116"/>
      <c r="AH2722" s="116"/>
      <c r="AI2722" s="116"/>
    </row>
    <row r="2723" spans="27:35" ht="18">
      <c r="AA2723" s="116"/>
      <c r="AB2723" s="87"/>
      <c r="AC2723" s="116"/>
      <c r="AD2723" s="116"/>
      <c r="AE2723" s="116"/>
      <c r="AF2723" s="116"/>
      <c r="AG2723" s="116"/>
      <c r="AH2723" s="116"/>
      <c r="AI2723" s="116"/>
    </row>
    <row r="2724" spans="27:35" ht="18">
      <c r="AA2724" s="116"/>
      <c r="AB2724" s="87"/>
      <c r="AC2724" s="116"/>
      <c r="AD2724" s="116"/>
      <c r="AE2724" s="116"/>
      <c r="AF2724" s="116"/>
      <c r="AG2724" s="116"/>
      <c r="AH2724" s="116"/>
      <c r="AI2724" s="116"/>
    </row>
    <row r="2725" spans="27:35" ht="18">
      <c r="AA2725" s="116"/>
      <c r="AB2725" s="87"/>
      <c r="AC2725" s="116"/>
      <c r="AD2725" s="116"/>
      <c r="AE2725" s="116"/>
      <c r="AF2725" s="116"/>
      <c r="AG2725" s="116"/>
      <c r="AH2725" s="116"/>
      <c r="AI2725" s="116"/>
    </row>
    <row r="2726" spans="27:35" ht="18">
      <c r="AA2726" s="116"/>
      <c r="AB2726" s="87"/>
      <c r="AC2726" s="116"/>
      <c r="AD2726" s="116"/>
      <c r="AE2726" s="116"/>
      <c r="AF2726" s="116"/>
      <c r="AG2726" s="116"/>
      <c r="AH2726" s="116"/>
      <c r="AI2726" s="116"/>
    </row>
    <row r="2727" spans="27:35" ht="18">
      <c r="AA2727" s="116"/>
      <c r="AB2727" s="87"/>
      <c r="AC2727" s="116"/>
      <c r="AD2727" s="116"/>
      <c r="AE2727" s="116"/>
      <c r="AF2727" s="116"/>
      <c r="AG2727" s="116"/>
      <c r="AH2727" s="116"/>
      <c r="AI2727" s="116"/>
    </row>
    <row r="2728" spans="27:35" ht="18">
      <c r="AA2728" s="116"/>
      <c r="AB2728" s="87"/>
      <c r="AC2728" s="116"/>
      <c r="AD2728" s="116"/>
      <c r="AE2728" s="116"/>
      <c r="AF2728" s="116"/>
      <c r="AG2728" s="116"/>
      <c r="AH2728" s="116"/>
      <c r="AI2728" s="116"/>
    </row>
    <row r="2729" spans="27:35" ht="18">
      <c r="AA2729" s="116"/>
      <c r="AB2729" s="87"/>
      <c r="AC2729" s="116"/>
      <c r="AD2729" s="116"/>
      <c r="AE2729" s="116"/>
      <c r="AF2729" s="116"/>
      <c r="AG2729" s="116"/>
      <c r="AH2729" s="116"/>
      <c r="AI2729" s="116"/>
    </row>
    <row r="2730" spans="27:35" ht="18">
      <c r="AA2730" s="116"/>
      <c r="AB2730" s="87"/>
      <c r="AC2730" s="116"/>
      <c r="AD2730" s="116"/>
      <c r="AE2730" s="116"/>
      <c r="AF2730" s="116"/>
      <c r="AG2730" s="116"/>
      <c r="AH2730" s="116"/>
      <c r="AI2730" s="116"/>
    </row>
    <row r="2731" spans="27:35" ht="18">
      <c r="AA2731" s="116"/>
      <c r="AB2731" s="87"/>
      <c r="AC2731" s="116"/>
      <c r="AD2731" s="116"/>
      <c r="AE2731" s="116"/>
      <c r="AF2731" s="116"/>
      <c r="AG2731" s="116"/>
      <c r="AH2731" s="116"/>
      <c r="AI2731" s="116"/>
    </row>
    <row r="2732" spans="27:35" ht="18">
      <c r="AA2732" s="116"/>
      <c r="AB2732" s="87"/>
      <c r="AC2732" s="116"/>
      <c r="AD2732" s="116"/>
      <c r="AE2732" s="116"/>
      <c r="AF2732" s="116"/>
      <c r="AG2732" s="116"/>
      <c r="AH2732" s="116"/>
      <c r="AI2732" s="116"/>
    </row>
    <row r="2733" spans="27:35" ht="18">
      <c r="AA2733" s="116"/>
      <c r="AB2733" s="87"/>
      <c r="AC2733" s="116"/>
      <c r="AD2733" s="116"/>
      <c r="AE2733" s="116"/>
      <c r="AF2733" s="116"/>
      <c r="AG2733" s="116"/>
      <c r="AH2733" s="116"/>
      <c r="AI2733" s="116"/>
    </row>
    <row r="2734" spans="27:35" ht="18">
      <c r="AA2734" s="116"/>
      <c r="AB2734" s="87"/>
      <c r="AC2734" s="116"/>
      <c r="AD2734" s="116"/>
      <c r="AE2734" s="116"/>
      <c r="AF2734" s="116"/>
      <c r="AG2734" s="116"/>
      <c r="AH2734" s="116"/>
      <c r="AI2734" s="116"/>
    </row>
    <row r="2735" spans="27:35" ht="18">
      <c r="AA2735" s="116"/>
      <c r="AB2735" s="87"/>
      <c r="AC2735" s="116"/>
      <c r="AD2735" s="116"/>
      <c r="AE2735" s="116"/>
      <c r="AF2735" s="116"/>
      <c r="AG2735" s="116"/>
      <c r="AH2735" s="116"/>
      <c r="AI2735" s="116"/>
    </row>
    <row r="2736" spans="27:35" ht="18">
      <c r="AA2736" s="116"/>
      <c r="AB2736" s="184"/>
      <c r="AC2736" s="116"/>
      <c r="AD2736" s="116"/>
      <c r="AE2736" s="116"/>
      <c r="AF2736" s="116"/>
      <c r="AG2736" s="116"/>
      <c r="AH2736" s="116"/>
      <c r="AI2736" s="116"/>
    </row>
    <row r="2737" spans="27:35" ht="18">
      <c r="AA2737" s="116"/>
      <c r="AB2737" s="87"/>
      <c r="AC2737" s="116"/>
      <c r="AD2737" s="116"/>
      <c r="AE2737" s="116"/>
      <c r="AF2737" s="116"/>
      <c r="AG2737" s="116"/>
      <c r="AH2737" s="116"/>
      <c r="AI2737" s="116"/>
    </row>
    <row r="2738" spans="27:35" ht="18">
      <c r="AA2738" s="116"/>
      <c r="AB2738" s="87"/>
      <c r="AC2738" s="116"/>
      <c r="AD2738" s="116"/>
      <c r="AE2738" s="116"/>
      <c r="AF2738" s="116"/>
      <c r="AG2738" s="116"/>
      <c r="AH2738" s="116"/>
      <c r="AI2738" s="116"/>
    </row>
    <row r="2739" spans="27:35" ht="18">
      <c r="AA2739" s="116"/>
      <c r="AB2739" s="87"/>
      <c r="AC2739" s="116"/>
      <c r="AD2739" s="116"/>
      <c r="AE2739" s="116"/>
      <c r="AF2739" s="116"/>
      <c r="AG2739" s="116"/>
      <c r="AH2739" s="116"/>
      <c r="AI2739" s="116"/>
    </row>
    <row r="2740" spans="27:35" ht="18">
      <c r="AA2740" s="116"/>
      <c r="AB2740" s="87"/>
      <c r="AC2740" s="116"/>
      <c r="AD2740" s="116"/>
      <c r="AE2740" s="116"/>
      <c r="AF2740" s="116"/>
      <c r="AG2740" s="116"/>
      <c r="AH2740" s="116"/>
      <c r="AI2740" s="116"/>
    </row>
    <row r="2741" spans="27:35" ht="18">
      <c r="AA2741" s="116"/>
      <c r="AB2741" s="87"/>
      <c r="AC2741" s="116"/>
      <c r="AD2741" s="116"/>
      <c r="AE2741" s="116"/>
      <c r="AF2741" s="116"/>
      <c r="AG2741" s="116"/>
      <c r="AH2741" s="116"/>
      <c r="AI2741" s="116"/>
    </row>
    <row r="2742" spans="27:35" ht="18">
      <c r="AA2742" s="116"/>
      <c r="AB2742" s="87"/>
      <c r="AC2742" s="116"/>
      <c r="AD2742" s="116"/>
      <c r="AE2742" s="116"/>
      <c r="AF2742" s="116"/>
      <c r="AG2742" s="116"/>
      <c r="AH2742" s="116"/>
      <c r="AI2742" s="116"/>
    </row>
    <row r="2743" spans="27:35" ht="18">
      <c r="AA2743" s="116"/>
      <c r="AB2743" s="87"/>
      <c r="AC2743" s="116"/>
      <c r="AD2743" s="116"/>
      <c r="AE2743" s="116"/>
      <c r="AF2743" s="116"/>
      <c r="AG2743" s="116"/>
      <c r="AH2743" s="116"/>
      <c r="AI2743" s="116"/>
    </row>
    <row r="2744" spans="27:35" ht="18">
      <c r="AA2744" s="116"/>
      <c r="AB2744" s="87"/>
      <c r="AC2744" s="116"/>
      <c r="AD2744" s="116"/>
      <c r="AE2744" s="116"/>
      <c r="AF2744" s="116"/>
      <c r="AG2744" s="116"/>
      <c r="AH2744" s="116"/>
      <c r="AI2744" s="116"/>
    </row>
    <row r="2745" spans="27:35" ht="18">
      <c r="AA2745" s="116"/>
      <c r="AB2745" s="87"/>
      <c r="AC2745" s="116"/>
      <c r="AD2745" s="116"/>
      <c r="AE2745" s="116"/>
      <c r="AF2745" s="116"/>
      <c r="AG2745" s="116"/>
      <c r="AH2745" s="116"/>
      <c r="AI2745" s="116"/>
    </row>
    <row r="2746" spans="27:35" ht="18">
      <c r="AA2746" s="116"/>
      <c r="AB2746" s="87"/>
      <c r="AC2746" s="116"/>
      <c r="AD2746" s="116"/>
      <c r="AE2746" s="116"/>
      <c r="AF2746" s="116"/>
      <c r="AG2746" s="116"/>
      <c r="AH2746" s="116"/>
      <c r="AI2746" s="116"/>
    </row>
    <row r="2747" spans="27:35" ht="18">
      <c r="AA2747" s="116"/>
      <c r="AB2747" s="87"/>
      <c r="AC2747" s="116"/>
      <c r="AD2747" s="116"/>
      <c r="AE2747" s="116"/>
      <c r="AF2747" s="116"/>
      <c r="AG2747" s="116"/>
      <c r="AH2747" s="116"/>
      <c r="AI2747" s="116"/>
    </row>
    <row r="2748" spans="27:35" ht="18">
      <c r="AA2748" s="116"/>
      <c r="AB2748" s="87"/>
      <c r="AC2748" s="116"/>
      <c r="AD2748" s="116"/>
      <c r="AE2748" s="116"/>
      <c r="AF2748" s="116"/>
      <c r="AG2748" s="116"/>
      <c r="AH2748" s="116"/>
      <c r="AI2748" s="116"/>
    </row>
    <row r="2749" spans="27:35" ht="18">
      <c r="AA2749" s="116"/>
      <c r="AB2749" s="87"/>
      <c r="AC2749" s="116"/>
      <c r="AD2749" s="116"/>
      <c r="AE2749" s="116"/>
      <c r="AF2749" s="116"/>
      <c r="AG2749" s="116"/>
      <c r="AH2749" s="116"/>
      <c r="AI2749" s="116"/>
    </row>
    <row r="2750" spans="27:35" ht="18">
      <c r="AA2750" s="116"/>
      <c r="AB2750" s="87"/>
      <c r="AC2750" s="116"/>
      <c r="AD2750" s="116"/>
      <c r="AE2750" s="116"/>
      <c r="AF2750" s="116"/>
      <c r="AG2750" s="116"/>
      <c r="AH2750" s="116"/>
      <c r="AI2750" s="116"/>
    </row>
    <row r="2751" spans="27:35" ht="18">
      <c r="AA2751" s="116"/>
      <c r="AB2751" s="87"/>
      <c r="AC2751" s="116"/>
      <c r="AD2751" s="116"/>
      <c r="AE2751" s="116"/>
      <c r="AF2751" s="116"/>
      <c r="AG2751" s="116"/>
      <c r="AH2751" s="116"/>
      <c r="AI2751" s="116"/>
    </row>
    <row r="2752" spans="27:35" ht="18">
      <c r="AA2752" s="116"/>
      <c r="AB2752" s="87"/>
      <c r="AC2752" s="116"/>
      <c r="AD2752" s="116"/>
      <c r="AE2752" s="116"/>
      <c r="AF2752" s="116"/>
      <c r="AG2752" s="116"/>
      <c r="AH2752" s="116"/>
      <c r="AI2752" s="116"/>
    </row>
    <row r="2753" spans="27:35" ht="18">
      <c r="AA2753" s="116"/>
      <c r="AB2753" s="87"/>
      <c r="AC2753" s="116"/>
      <c r="AD2753" s="116"/>
      <c r="AE2753" s="116"/>
      <c r="AF2753" s="116"/>
      <c r="AG2753" s="116"/>
      <c r="AH2753" s="116"/>
      <c r="AI2753" s="116"/>
    </row>
    <row r="2754" spans="27:35" ht="18">
      <c r="AA2754" s="116"/>
      <c r="AB2754" s="87"/>
      <c r="AC2754" s="116"/>
      <c r="AD2754" s="116"/>
      <c r="AE2754" s="116"/>
      <c r="AF2754" s="116"/>
      <c r="AG2754" s="116"/>
      <c r="AH2754" s="116"/>
      <c r="AI2754" s="116"/>
    </row>
    <row r="2755" spans="27:35" ht="18">
      <c r="AA2755" s="116"/>
      <c r="AB2755" s="87"/>
      <c r="AC2755" s="116"/>
      <c r="AD2755" s="116"/>
      <c r="AE2755" s="116"/>
      <c r="AF2755" s="116"/>
      <c r="AG2755" s="116"/>
      <c r="AH2755" s="116"/>
      <c r="AI2755" s="116"/>
    </row>
    <row r="2756" spans="27:35" ht="18">
      <c r="AA2756" s="116"/>
      <c r="AB2756" s="87"/>
      <c r="AC2756" s="116"/>
      <c r="AD2756" s="116"/>
      <c r="AE2756" s="116"/>
      <c r="AF2756" s="116"/>
      <c r="AG2756" s="116"/>
      <c r="AH2756" s="116"/>
      <c r="AI2756" s="116"/>
    </row>
    <row r="2757" spans="27:35" ht="18">
      <c r="AA2757" s="116"/>
      <c r="AB2757" s="87"/>
      <c r="AC2757" s="116"/>
      <c r="AD2757" s="116"/>
      <c r="AE2757" s="116"/>
      <c r="AF2757" s="116"/>
      <c r="AG2757" s="116"/>
      <c r="AH2757" s="116"/>
      <c r="AI2757" s="116"/>
    </row>
    <row r="2758" spans="27:35" ht="18">
      <c r="AA2758" s="116"/>
      <c r="AB2758" s="87"/>
      <c r="AC2758" s="116"/>
      <c r="AD2758" s="116"/>
      <c r="AE2758" s="116"/>
      <c r="AF2758" s="116"/>
      <c r="AG2758" s="116"/>
      <c r="AH2758" s="116"/>
      <c r="AI2758" s="116"/>
    </row>
    <row r="2759" spans="27:35" ht="18">
      <c r="AA2759" s="116"/>
      <c r="AB2759" s="87"/>
      <c r="AC2759" s="116"/>
      <c r="AD2759" s="116"/>
      <c r="AE2759" s="116"/>
      <c r="AF2759" s="116"/>
      <c r="AG2759" s="116"/>
      <c r="AH2759" s="116"/>
      <c r="AI2759" s="116"/>
    </row>
    <row r="2760" spans="27:35" ht="18">
      <c r="AA2760" s="116"/>
      <c r="AB2760" s="87"/>
      <c r="AC2760" s="116"/>
      <c r="AD2760" s="116"/>
      <c r="AE2760" s="116"/>
      <c r="AF2760" s="116"/>
      <c r="AG2760" s="116"/>
      <c r="AH2760" s="116"/>
      <c r="AI2760" s="116"/>
    </row>
    <row r="2761" spans="27:35" ht="18">
      <c r="AA2761" s="116"/>
      <c r="AB2761" s="87"/>
      <c r="AC2761" s="116"/>
      <c r="AD2761" s="116"/>
      <c r="AE2761" s="116"/>
      <c r="AF2761" s="116"/>
      <c r="AG2761" s="116"/>
      <c r="AH2761" s="116"/>
      <c r="AI2761" s="116"/>
    </row>
    <row r="2762" spans="27:35" ht="18">
      <c r="AA2762" s="116"/>
      <c r="AB2762" s="87"/>
      <c r="AC2762" s="116"/>
      <c r="AD2762" s="116"/>
      <c r="AE2762" s="116"/>
      <c r="AF2762" s="116"/>
      <c r="AG2762" s="116"/>
      <c r="AH2762" s="116"/>
      <c r="AI2762" s="116"/>
    </row>
    <row r="2763" spans="27:35" ht="18">
      <c r="AA2763" s="116"/>
      <c r="AB2763" s="87"/>
      <c r="AC2763" s="116"/>
      <c r="AD2763" s="116"/>
      <c r="AE2763" s="116"/>
      <c r="AF2763" s="116"/>
      <c r="AG2763" s="116"/>
      <c r="AH2763" s="116"/>
      <c r="AI2763" s="116"/>
    </row>
    <row r="2764" spans="27:35" ht="18">
      <c r="AA2764" s="116"/>
      <c r="AB2764" s="87"/>
      <c r="AC2764" s="116"/>
      <c r="AD2764" s="116"/>
      <c r="AE2764" s="116"/>
      <c r="AF2764" s="116"/>
      <c r="AG2764" s="116"/>
      <c r="AH2764" s="116"/>
      <c r="AI2764" s="116"/>
    </row>
    <row r="2765" spans="27:35" ht="18">
      <c r="AA2765" s="116"/>
      <c r="AB2765" s="87"/>
      <c r="AC2765" s="116"/>
      <c r="AD2765" s="116"/>
      <c r="AE2765" s="116"/>
      <c r="AF2765" s="116"/>
      <c r="AG2765" s="116"/>
      <c r="AH2765" s="116"/>
      <c r="AI2765" s="116"/>
    </row>
    <row r="2766" spans="27:35" ht="18">
      <c r="AA2766" s="116"/>
      <c r="AB2766" s="87"/>
      <c r="AC2766" s="116"/>
      <c r="AD2766" s="116"/>
      <c r="AE2766" s="116"/>
      <c r="AF2766" s="116"/>
      <c r="AG2766" s="116"/>
      <c r="AH2766" s="116"/>
      <c r="AI2766" s="116"/>
    </row>
    <row r="2767" spans="27:35" ht="18">
      <c r="AA2767" s="116"/>
      <c r="AB2767" s="87"/>
      <c r="AC2767" s="116"/>
      <c r="AD2767" s="116"/>
      <c r="AE2767" s="116"/>
      <c r="AF2767" s="116"/>
      <c r="AG2767" s="116"/>
      <c r="AH2767" s="116"/>
      <c r="AI2767" s="116"/>
    </row>
    <row r="2768" spans="27:35" ht="18">
      <c r="AA2768" s="116"/>
      <c r="AB2768" s="87"/>
      <c r="AC2768" s="116"/>
      <c r="AD2768" s="116"/>
      <c r="AE2768" s="116"/>
      <c r="AF2768" s="116"/>
      <c r="AG2768" s="116"/>
      <c r="AH2768" s="116"/>
      <c r="AI2768" s="116"/>
    </row>
    <row r="2769" spans="27:35" ht="18">
      <c r="AA2769" s="116"/>
      <c r="AB2769" s="87"/>
      <c r="AC2769" s="116"/>
      <c r="AD2769" s="116"/>
      <c r="AE2769" s="116"/>
      <c r="AF2769" s="116"/>
      <c r="AG2769" s="116"/>
      <c r="AH2769" s="116"/>
      <c r="AI2769" s="116"/>
    </row>
    <row r="2770" spans="27:35" ht="18">
      <c r="AA2770" s="116"/>
      <c r="AB2770" s="87"/>
      <c r="AC2770" s="116"/>
      <c r="AD2770" s="116"/>
      <c r="AE2770" s="116"/>
      <c r="AF2770" s="116"/>
      <c r="AG2770" s="116"/>
      <c r="AH2770" s="116"/>
      <c r="AI2770" s="116"/>
    </row>
    <row r="2771" spans="27:35" ht="18">
      <c r="AA2771" s="116"/>
      <c r="AB2771" s="87"/>
      <c r="AC2771" s="116"/>
      <c r="AD2771" s="116"/>
      <c r="AE2771" s="116"/>
      <c r="AF2771" s="116"/>
      <c r="AG2771" s="116"/>
      <c r="AH2771" s="116"/>
      <c r="AI2771" s="116"/>
    </row>
    <row r="2772" spans="27:35" ht="18">
      <c r="AA2772" s="116"/>
      <c r="AB2772" s="87"/>
      <c r="AC2772" s="116"/>
      <c r="AD2772" s="116"/>
      <c r="AE2772" s="116"/>
      <c r="AF2772" s="116"/>
      <c r="AG2772" s="116"/>
      <c r="AH2772" s="116"/>
      <c r="AI2772" s="116"/>
    </row>
    <row r="2773" spans="27:35" ht="18">
      <c r="AA2773" s="116"/>
      <c r="AB2773" s="87"/>
      <c r="AC2773" s="116"/>
      <c r="AD2773" s="116"/>
      <c r="AE2773" s="116"/>
      <c r="AF2773" s="116"/>
      <c r="AG2773" s="116"/>
      <c r="AH2773" s="116"/>
      <c r="AI2773" s="116"/>
    </row>
    <row r="2774" spans="27:35" ht="18">
      <c r="AA2774" s="116"/>
      <c r="AB2774" s="87"/>
      <c r="AC2774" s="116"/>
      <c r="AD2774" s="116"/>
      <c r="AE2774" s="116"/>
      <c r="AF2774" s="116"/>
      <c r="AG2774" s="116"/>
      <c r="AH2774" s="116"/>
      <c r="AI2774" s="116"/>
    </row>
    <row r="2775" spans="27:35" ht="18">
      <c r="AA2775" s="116"/>
      <c r="AB2775" s="87"/>
      <c r="AC2775" s="116"/>
      <c r="AD2775" s="116"/>
      <c r="AE2775" s="116"/>
      <c r="AF2775" s="116"/>
      <c r="AG2775" s="116"/>
      <c r="AH2775" s="116"/>
      <c r="AI2775" s="116"/>
    </row>
    <row r="2776" spans="27:35" ht="18">
      <c r="AA2776" s="116"/>
      <c r="AB2776" s="87"/>
      <c r="AC2776" s="116"/>
      <c r="AD2776" s="116"/>
      <c r="AE2776" s="116"/>
      <c r="AF2776" s="116"/>
      <c r="AG2776" s="116"/>
      <c r="AH2776" s="116"/>
      <c r="AI2776" s="116"/>
    </row>
    <row r="2777" spans="27:35" ht="18">
      <c r="AA2777" s="116"/>
      <c r="AB2777" s="87"/>
      <c r="AC2777" s="116"/>
      <c r="AD2777" s="116"/>
      <c r="AE2777" s="116"/>
      <c r="AF2777" s="116"/>
      <c r="AG2777" s="116"/>
      <c r="AH2777" s="116"/>
      <c r="AI2777" s="116"/>
    </row>
    <row r="2778" spans="27:35" ht="18">
      <c r="AA2778" s="116"/>
      <c r="AB2778" s="87"/>
      <c r="AC2778" s="116"/>
      <c r="AD2778" s="116"/>
      <c r="AE2778" s="116"/>
      <c r="AF2778" s="116"/>
      <c r="AG2778" s="116"/>
      <c r="AH2778" s="116"/>
      <c r="AI2778" s="116"/>
    </row>
    <row r="2779" spans="27:35" ht="18">
      <c r="AA2779" s="116"/>
      <c r="AB2779" s="87"/>
      <c r="AC2779" s="116"/>
      <c r="AD2779" s="116"/>
      <c r="AE2779" s="116"/>
      <c r="AF2779" s="116"/>
      <c r="AG2779" s="116"/>
      <c r="AH2779" s="116"/>
      <c r="AI2779" s="116"/>
    </row>
    <row r="2780" spans="27:35" ht="18">
      <c r="AA2780" s="116"/>
      <c r="AB2780" s="87"/>
      <c r="AC2780" s="116"/>
      <c r="AD2780" s="116"/>
      <c r="AE2780" s="116"/>
      <c r="AF2780" s="116"/>
      <c r="AG2780" s="116"/>
      <c r="AH2780" s="116"/>
      <c r="AI2780" s="116"/>
    </row>
    <row r="2781" spans="27:35" ht="18">
      <c r="AA2781" s="116"/>
      <c r="AB2781" s="87"/>
      <c r="AC2781" s="116"/>
      <c r="AD2781" s="116"/>
      <c r="AE2781" s="116"/>
      <c r="AF2781" s="116"/>
      <c r="AG2781" s="116"/>
      <c r="AH2781" s="116"/>
      <c r="AI2781" s="116"/>
    </row>
    <row r="2782" spans="27:35" ht="18">
      <c r="AA2782" s="116"/>
      <c r="AB2782" s="184"/>
      <c r="AC2782" s="116"/>
      <c r="AD2782" s="116"/>
      <c r="AE2782" s="116"/>
      <c r="AF2782" s="116"/>
      <c r="AG2782" s="116"/>
      <c r="AH2782" s="116"/>
      <c r="AI2782" s="116"/>
    </row>
    <row r="2783" spans="27:35" ht="18">
      <c r="AA2783" s="116"/>
      <c r="AB2783" s="184"/>
      <c r="AC2783" s="116"/>
      <c r="AD2783" s="116"/>
      <c r="AE2783" s="116"/>
      <c r="AF2783" s="116"/>
      <c r="AG2783" s="116"/>
      <c r="AH2783" s="116"/>
      <c r="AI2783" s="116"/>
    </row>
    <row r="2784" spans="27:35" ht="18">
      <c r="AA2784" s="116"/>
      <c r="AB2784" s="87"/>
      <c r="AC2784" s="116"/>
      <c r="AD2784" s="116"/>
      <c r="AE2784" s="116"/>
      <c r="AF2784" s="116"/>
      <c r="AG2784" s="116"/>
      <c r="AH2784" s="116"/>
      <c r="AI2784" s="116"/>
    </row>
    <row r="2785" spans="27:35" ht="18">
      <c r="AA2785" s="116"/>
      <c r="AB2785" s="87"/>
      <c r="AC2785" s="116"/>
      <c r="AD2785" s="116"/>
      <c r="AE2785" s="116"/>
      <c r="AF2785" s="116"/>
      <c r="AG2785" s="116"/>
      <c r="AH2785" s="116"/>
      <c r="AI2785" s="116"/>
    </row>
    <row r="2786" spans="27:35" ht="18">
      <c r="AA2786" s="116"/>
      <c r="AB2786" s="87"/>
      <c r="AC2786" s="116"/>
      <c r="AD2786" s="116"/>
      <c r="AE2786" s="116"/>
      <c r="AF2786" s="116"/>
      <c r="AG2786" s="116"/>
      <c r="AH2786" s="116"/>
      <c r="AI2786" s="116"/>
    </row>
    <row r="2787" spans="27:35" ht="18">
      <c r="AA2787" s="116"/>
      <c r="AB2787" s="87"/>
      <c r="AC2787" s="116"/>
      <c r="AD2787" s="116"/>
      <c r="AE2787" s="116"/>
      <c r="AF2787" s="116"/>
      <c r="AG2787" s="116"/>
      <c r="AH2787" s="116"/>
      <c r="AI2787" s="116"/>
    </row>
    <row r="2788" spans="27:35" ht="18">
      <c r="AA2788" s="116"/>
      <c r="AB2788" s="184"/>
      <c r="AC2788" s="116"/>
      <c r="AD2788" s="116"/>
      <c r="AE2788" s="116"/>
      <c r="AF2788" s="116"/>
      <c r="AG2788" s="116"/>
      <c r="AH2788" s="116"/>
      <c r="AI2788" s="116"/>
    </row>
    <row r="2789" spans="27:35" ht="18">
      <c r="AA2789" s="116"/>
      <c r="AB2789" s="87"/>
      <c r="AC2789" s="116"/>
      <c r="AD2789" s="116"/>
      <c r="AE2789" s="116"/>
      <c r="AF2789" s="116"/>
      <c r="AG2789" s="116"/>
      <c r="AH2789" s="116"/>
      <c r="AI2789" s="116"/>
    </row>
    <row r="2790" spans="27:35" ht="18">
      <c r="AA2790" s="116"/>
      <c r="AB2790" s="87"/>
      <c r="AC2790" s="116"/>
      <c r="AD2790" s="116"/>
      <c r="AE2790" s="116"/>
      <c r="AF2790" s="116"/>
      <c r="AG2790" s="116"/>
      <c r="AH2790" s="116"/>
      <c r="AI2790" s="116"/>
    </row>
    <row r="2791" spans="27:35" ht="18">
      <c r="AA2791" s="116"/>
      <c r="AB2791" s="87"/>
      <c r="AC2791" s="116"/>
      <c r="AD2791" s="116"/>
      <c r="AE2791" s="116"/>
      <c r="AF2791" s="116"/>
      <c r="AG2791" s="116"/>
      <c r="AH2791" s="116"/>
      <c r="AI2791" s="116"/>
    </row>
    <row r="2792" spans="27:35" ht="18">
      <c r="AA2792" s="116"/>
      <c r="AB2792" s="87"/>
      <c r="AC2792" s="116"/>
      <c r="AD2792" s="116"/>
      <c r="AE2792" s="116"/>
      <c r="AF2792" s="116"/>
      <c r="AG2792" s="116"/>
      <c r="AH2792" s="116"/>
      <c r="AI2792" s="116"/>
    </row>
    <row r="2793" spans="27:35" ht="18">
      <c r="AA2793" s="116"/>
      <c r="AB2793" s="184"/>
      <c r="AC2793" s="116"/>
      <c r="AD2793" s="116"/>
      <c r="AE2793" s="116"/>
      <c r="AF2793" s="116"/>
      <c r="AG2793" s="116"/>
      <c r="AH2793" s="116"/>
      <c r="AI2793" s="116"/>
    </row>
    <row r="2794" spans="27:35" ht="18">
      <c r="AA2794" s="116"/>
      <c r="AB2794" s="87"/>
      <c r="AC2794" s="116"/>
      <c r="AD2794" s="116"/>
      <c r="AE2794" s="116"/>
      <c r="AF2794" s="116"/>
      <c r="AG2794" s="116"/>
      <c r="AH2794" s="116"/>
      <c r="AI2794" s="116"/>
    </row>
    <row r="2795" spans="27:35" ht="18">
      <c r="AA2795" s="116"/>
      <c r="AB2795" s="87"/>
      <c r="AC2795" s="116"/>
      <c r="AD2795" s="116"/>
      <c r="AE2795" s="116"/>
      <c r="AF2795" s="116"/>
      <c r="AG2795" s="116"/>
      <c r="AH2795" s="116"/>
      <c r="AI2795" s="116"/>
    </row>
    <row r="2796" spans="27:35" ht="18">
      <c r="AA2796" s="116"/>
      <c r="AB2796" s="87"/>
      <c r="AC2796" s="116"/>
      <c r="AD2796" s="116"/>
      <c r="AE2796" s="116"/>
      <c r="AF2796" s="116"/>
      <c r="AG2796" s="116"/>
      <c r="AH2796" s="116"/>
      <c r="AI2796" s="116"/>
    </row>
    <row r="2797" spans="27:35" ht="18">
      <c r="AA2797" s="116"/>
      <c r="AB2797" s="87"/>
      <c r="AC2797" s="116"/>
      <c r="AD2797" s="116"/>
      <c r="AE2797" s="116"/>
      <c r="AF2797" s="116"/>
      <c r="AG2797" s="116"/>
      <c r="AH2797" s="116"/>
      <c r="AI2797" s="116"/>
    </row>
    <row r="2798" spans="27:35" ht="18">
      <c r="AA2798" s="116"/>
      <c r="AB2798" s="184"/>
      <c r="AC2798" s="116"/>
      <c r="AD2798" s="116"/>
      <c r="AE2798" s="116"/>
      <c r="AF2798" s="116"/>
      <c r="AG2798" s="116"/>
      <c r="AH2798" s="116"/>
      <c r="AI2798" s="116"/>
    </row>
    <row r="2799" spans="27:35" ht="18">
      <c r="AA2799" s="116"/>
      <c r="AB2799" s="87"/>
      <c r="AC2799" s="116"/>
      <c r="AD2799" s="116"/>
      <c r="AE2799" s="116"/>
      <c r="AF2799" s="116"/>
      <c r="AG2799" s="116"/>
      <c r="AH2799" s="116"/>
      <c r="AI2799" s="116"/>
    </row>
    <row r="2800" spans="27:35" ht="18">
      <c r="AA2800" s="116"/>
      <c r="AB2800" s="87"/>
      <c r="AC2800" s="116"/>
      <c r="AD2800" s="116"/>
      <c r="AE2800" s="116"/>
      <c r="AF2800" s="116"/>
      <c r="AG2800" s="116"/>
      <c r="AH2800" s="116"/>
      <c r="AI2800" s="116"/>
    </row>
    <row r="2801" spans="27:35" ht="18">
      <c r="AA2801" s="116"/>
      <c r="AB2801" s="87"/>
      <c r="AC2801" s="116"/>
      <c r="AD2801" s="116"/>
      <c r="AE2801" s="116"/>
      <c r="AF2801" s="116"/>
      <c r="AG2801" s="116"/>
      <c r="AH2801" s="116"/>
      <c r="AI2801" s="116"/>
    </row>
    <row r="2802" spans="27:35" ht="18">
      <c r="AA2802" s="116"/>
      <c r="AB2802" s="87"/>
      <c r="AC2802" s="116"/>
      <c r="AD2802" s="116"/>
      <c r="AE2802" s="116"/>
      <c r="AF2802" s="116"/>
      <c r="AG2802" s="116"/>
      <c r="AH2802" s="116"/>
      <c r="AI2802" s="116"/>
    </row>
    <row r="2803" spans="27:35" ht="18">
      <c r="AA2803" s="116"/>
      <c r="AB2803" s="184"/>
      <c r="AC2803" s="116"/>
      <c r="AD2803" s="116"/>
      <c r="AE2803" s="116"/>
      <c r="AF2803" s="116"/>
      <c r="AG2803" s="116"/>
      <c r="AH2803" s="116"/>
      <c r="AI2803" s="116"/>
    </row>
    <row r="2804" spans="27:35" ht="18">
      <c r="AA2804" s="116"/>
      <c r="AB2804" s="87"/>
      <c r="AC2804" s="116"/>
      <c r="AD2804" s="116"/>
      <c r="AE2804" s="116"/>
      <c r="AF2804" s="116"/>
      <c r="AG2804" s="116"/>
      <c r="AH2804" s="116"/>
      <c r="AI2804" s="116"/>
    </row>
    <row r="2805" spans="27:35" ht="18">
      <c r="AA2805" s="116"/>
      <c r="AB2805" s="87"/>
      <c r="AC2805" s="116"/>
      <c r="AD2805" s="116"/>
      <c r="AE2805" s="116"/>
      <c r="AF2805" s="116"/>
      <c r="AG2805" s="116"/>
      <c r="AH2805" s="116"/>
      <c r="AI2805" s="116"/>
    </row>
    <row r="2806" spans="27:35" ht="18">
      <c r="AA2806" s="116"/>
      <c r="AB2806" s="87"/>
      <c r="AC2806" s="116"/>
      <c r="AD2806" s="116"/>
      <c r="AE2806" s="116"/>
      <c r="AF2806" s="116"/>
      <c r="AG2806" s="116"/>
      <c r="AH2806" s="116"/>
      <c r="AI2806" s="116"/>
    </row>
    <row r="2807" spans="27:35" ht="18">
      <c r="AA2807" s="116"/>
      <c r="AB2807" s="87"/>
      <c r="AC2807" s="116"/>
      <c r="AD2807" s="116"/>
      <c r="AE2807" s="116"/>
      <c r="AF2807" s="116"/>
      <c r="AG2807" s="116"/>
      <c r="AH2807" s="116"/>
      <c r="AI2807" s="116"/>
    </row>
    <row r="2808" spans="27:35" ht="18">
      <c r="AA2808" s="116"/>
      <c r="AB2808" s="184"/>
      <c r="AC2808" s="116"/>
      <c r="AD2808" s="116"/>
      <c r="AE2808" s="116"/>
      <c r="AF2808" s="116"/>
      <c r="AG2808" s="116"/>
      <c r="AH2808" s="116"/>
      <c r="AI2808" s="116"/>
    </row>
    <row r="2809" spans="27:35" ht="18">
      <c r="AA2809" s="116"/>
      <c r="AB2809" s="87"/>
      <c r="AC2809" s="116"/>
      <c r="AD2809" s="116"/>
      <c r="AE2809" s="116"/>
      <c r="AF2809" s="116"/>
      <c r="AG2809" s="116"/>
      <c r="AH2809" s="116"/>
      <c r="AI2809" s="116"/>
    </row>
    <row r="2810" spans="27:35" ht="18">
      <c r="AA2810" s="116"/>
      <c r="AB2810" s="87"/>
      <c r="AC2810" s="116"/>
      <c r="AD2810" s="116"/>
      <c r="AE2810" s="116"/>
      <c r="AF2810" s="116"/>
      <c r="AG2810" s="116"/>
      <c r="AH2810" s="116"/>
      <c r="AI2810" s="116"/>
    </row>
    <row r="2811" spans="27:35" ht="18">
      <c r="AA2811" s="116"/>
      <c r="AB2811" s="87"/>
      <c r="AC2811" s="116"/>
      <c r="AD2811" s="116"/>
      <c r="AE2811" s="116"/>
      <c r="AF2811" s="116"/>
      <c r="AG2811" s="116"/>
      <c r="AH2811" s="116"/>
      <c r="AI2811" s="116"/>
    </row>
    <row r="2812" spans="27:35" ht="18">
      <c r="AA2812" s="116"/>
      <c r="AB2812" s="87"/>
      <c r="AC2812" s="116"/>
      <c r="AD2812" s="116"/>
      <c r="AE2812" s="116"/>
      <c r="AF2812" s="116"/>
      <c r="AG2812" s="116"/>
      <c r="AH2812" s="116"/>
      <c r="AI2812" s="116"/>
    </row>
    <row r="2813" spans="27:35" ht="18">
      <c r="AA2813" s="116"/>
      <c r="AB2813" s="184"/>
      <c r="AC2813" s="116"/>
      <c r="AD2813" s="116"/>
      <c r="AE2813" s="116"/>
      <c r="AF2813" s="116"/>
      <c r="AG2813" s="116"/>
      <c r="AH2813" s="116"/>
      <c r="AI2813" s="116"/>
    </row>
    <row r="2814" spans="27:35" ht="18">
      <c r="AA2814" s="116"/>
      <c r="AB2814" s="87"/>
      <c r="AC2814" s="116"/>
      <c r="AD2814" s="116"/>
      <c r="AE2814" s="116"/>
      <c r="AF2814" s="116"/>
      <c r="AG2814" s="116"/>
      <c r="AH2814" s="116"/>
      <c r="AI2814" s="116"/>
    </row>
    <row r="2815" spans="27:35" ht="18">
      <c r="AA2815" s="116"/>
      <c r="AB2815" s="87"/>
      <c r="AC2815" s="116"/>
      <c r="AD2815" s="116"/>
      <c r="AE2815" s="116"/>
      <c r="AF2815" s="116"/>
      <c r="AG2815" s="116"/>
      <c r="AH2815" s="116"/>
      <c r="AI2815" s="116"/>
    </row>
    <row r="2816" spans="27:35" ht="18">
      <c r="AA2816" s="116"/>
      <c r="AB2816" s="87"/>
      <c r="AC2816" s="116"/>
      <c r="AD2816" s="116"/>
      <c r="AE2816" s="116"/>
      <c r="AF2816" s="116"/>
      <c r="AG2816" s="116"/>
      <c r="AH2816" s="116"/>
      <c r="AI2816" s="116"/>
    </row>
    <row r="2817" spans="27:35" ht="18">
      <c r="AA2817" s="116"/>
      <c r="AB2817" s="87"/>
      <c r="AC2817" s="116"/>
      <c r="AD2817" s="116"/>
      <c r="AE2817" s="116"/>
      <c r="AF2817" s="116"/>
      <c r="AG2817" s="116"/>
      <c r="AH2817" s="116"/>
      <c r="AI2817" s="116"/>
    </row>
    <row r="2818" spans="27:35" ht="18">
      <c r="AA2818" s="116"/>
      <c r="AB2818" s="184"/>
      <c r="AC2818" s="116"/>
      <c r="AD2818" s="116"/>
      <c r="AE2818" s="116"/>
      <c r="AF2818" s="116"/>
      <c r="AG2818" s="116"/>
      <c r="AH2818" s="116"/>
      <c r="AI2818" s="116"/>
    </row>
    <row r="2819" spans="27:35" ht="18">
      <c r="AA2819" s="116"/>
      <c r="AB2819" s="87"/>
      <c r="AC2819" s="116"/>
      <c r="AD2819" s="116"/>
      <c r="AE2819" s="116"/>
      <c r="AF2819" s="116"/>
      <c r="AG2819" s="116"/>
      <c r="AH2819" s="116"/>
      <c r="AI2819" s="116"/>
    </row>
    <row r="2820" spans="27:35" ht="18">
      <c r="AA2820" s="116"/>
      <c r="AB2820" s="87"/>
      <c r="AC2820" s="116"/>
      <c r="AD2820" s="116"/>
      <c r="AE2820" s="116"/>
      <c r="AF2820" s="116"/>
      <c r="AG2820" s="116"/>
      <c r="AH2820" s="116"/>
      <c r="AI2820" s="116"/>
    </row>
    <row r="2821" spans="27:35" ht="18">
      <c r="AA2821" s="116"/>
      <c r="AB2821" s="87"/>
      <c r="AC2821" s="116"/>
      <c r="AD2821" s="116"/>
      <c r="AE2821" s="116"/>
      <c r="AF2821" s="116"/>
      <c r="AG2821" s="116"/>
      <c r="AH2821" s="116"/>
      <c r="AI2821" s="116"/>
    </row>
    <row r="2822" spans="27:35" ht="18">
      <c r="AA2822" s="116"/>
      <c r="AB2822" s="87"/>
      <c r="AC2822" s="116"/>
      <c r="AD2822" s="116"/>
      <c r="AE2822" s="116"/>
      <c r="AF2822" s="116"/>
      <c r="AG2822" s="116"/>
      <c r="AH2822" s="116"/>
      <c r="AI2822" s="116"/>
    </row>
    <row r="2823" spans="27:35" ht="18">
      <c r="AA2823" s="116"/>
      <c r="AB2823" s="184"/>
      <c r="AC2823" s="116"/>
      <c r="AD2823" s="116"/>
      <c r="AE2823" s="116"/>
      <c r="AF2823" s="116"/>
      <c r="AG2823" s="116"/>
      <c r="AH2823" s="116"/>
      <c r="AI2823" s="116"/>
    </row>
    <row r="2824" spans="27:35" ht="18">
      <c r="AA2824" s="116"/>
      <c r="AB2824" s="87"/>
      <c r="AC2824" s="116"/>
      <c r="AD2824" s="116"/>
      <c r="AE2824" s="116"/>
      <c r="AF2824" s="116"/>
      <c r="AG2824" s="116"/>
      <c r="AH2824" s="116"/>
      <c r="AI2824" s="116"/>
    </row>
    <row r="2825" spans="27:35" ht="18">
      <c r="AA2825" s="116"/>
      <c r="AB2825" s="87"/>
      <c r="AC2825" s="116"/>
      <c r="AD2825" s="116"/>
      <c r="AE2825" s="116"/>
      <c r="AF2825" s="116"/>
      <c r="AG2825" s="116"/>
      <c r="AH2825" s="116"/>
      <c r="AI2825" s="116"/>
    </row>
    <row r="2826" spans="27:35" ht="18">
      <c r="AA2826" s="116"/>
      <c r="AB2826" s="87"/>
      <c r="AC2826" s="116"/>
      <c r="AD2826" s="116"/>
      <c r="AE2826" s="116"/>
      <c r="AF2826" s="116"/>
      <c r="AG2826" s="116"/>
      <c r="AH2826" s="116"/>
      <c r="AI2826" s="116"/>
    </row>
    <row r="2827" spans="27:35" ht="18">
      <c r="AA2827" s="116"/>
      <c r="AB2827" s="87"/>
      <c r="AC2827" s="116"/>
      <c r="AD2827" s="116"/>
      <c r="AE2827" s="116"/>
      <c r="AF2827" s="116"/>
      <c r="AG2827" s="116"/>
      <c r="AH2827" s="116"/>
      <c r="AI2827" s="116"/>
    </row>
    <row r="2828" spans="27:35" ht="18">
      <c r="AA2828" s="116"/>
      <c r="AB2828" s="87"/>
      <c r="AC2828" s="116"/>
      <c r="AD2828" s="116"/>
      <c r="AE2828" s="116"/>
      <c r="AF2828" s="116"/>
      <c r="AG2828" s="116"/>
      <c r="AH2828" s="116"/>
      <c r="AI2828" s="116"/>
    </row>
    <row r="2829" spans="27:35" ht="18">
      <c r="AA2829" s="116"/>
      <c r="AB2829" s="87"/>
      <c r="AC2829" s="116"/>
      <c r="AD2829" s="116"/>
      <c r="AE2829" s="116"/>
      <c r="AF2829" s="116"/>
      <c r="AG2829" s="116"/>
      <c r="AH2829" s="116"/>
      <c r="AI2829" s="116"/>
    </row>
    <row r="2830" spans="27:35" ht="18">
      <c r="AA2830" s="116"/>
      <c r="AB2830" s="87"/>
      <c r="AC2830" s="116"/>
      <c r="AD2830" s="116"/>
      <c r="AE2830" s="116"/>
      <c r="AF2830" s="116"/>
      <c r="AG2830" s="116"/>
      <c r="AH2830" s="116"/>
      <c r="AI2830" s="116"/>
    </row>
    <row r="2831" spans="27:35" ht="18">
      <c r="AA2831" s="116"/>
      <c r="AB2831" s="87"/>
      <c r="AC2831" s="116"/>
      <c r="AD2831" s="116"/>
      <c r="AE2831" s="116"/>
      <c r="AF2831" s="116"/>
      <c r="AG2831" s="116"/>
      <c r="AH2831" s="116"/>
      <c r="AI2831" s="116"/>
    </row>
    <row r="2832" spans="27:35" ht="18">
      <c r="AA2832" s="116"/>
      <c r="AB2832" s="87"/>
      <c r="AC2832" s="116"/>
      <c r="AD2832" s="116"/>
      <c r="AE2832" s="116"/>
      <c r="AF2832" s="116"/>
      <c r="AG2832" s="116"/>
      <c r="AH2832" s="116"/>
      <c r="AI2832" s="116"/>
    </row>
    <row r="2833" spans="27:35" ht="18">
      <c r="AA2833" s="116"/>
      <c r="AB2833" s="87"/>
      <c r="AC2833" s="116"/>
      <c r="AD2833" s="116"/>
      <c r="AE2833" s="116"/>
      <c r="AF2833" s="116"/>
      <c r="AG2833" s="116"/>
      <c r="AH2833" s="116"/>
      <c r="AI2833" s="116"/>
    </row>
    <row r="2834" spans="27:35" ht="18">
      <c r="AA2834" s="116"/>
      <c r="AB2834" s="184"/>
      <c r="AC2834" s="116"/>
      <c r="AD2834" s="116"/>
      <c r="AE2834" s="116"/>
      <c r="AF2834" s="116"/>
      <c r="AG2834" s="116"/>
      <c r="AH2834" s="116"/>
      <c r="AI2834" s="116"/>
    </row>
    <row r="2835" spans="27:35" ht="18">
      <c r="AA2835" s="116"/>
      <c r="AB2835" s="87"/>
      <c r="AC2835" s="116"/>
      <c r="AD2835" s="116"/>
      <c r="AE2835" s="116"/>
      <c r="AF2835" s="116"/>
      <c r="AG2835" s="116"/>
      <c r="AH2835" s="116"/>
      <c r="AI2835" s="116"/>
    </row>
    <row r="2836" spans="27:35" ht="18">
      <c r="AA2836" s="116"/>
      <c r="AB2836" s="87"/>
      <c r="AC2836" s="116"/>
      <c r="AD2836" s="116"/>
      <c r="AE2836" s="116"/>
      <c r="AF2836" s="116"/>
      <c r="AG2836" s="116"/>
      <c r="AH2836" s="116"/>
      <c r="AI2836" s="116"/>
    </row>
    <row r="2837" spans="27:35" ht="18">
      <c r="AA2837" s="116"/>
      <c r="AB2837" s="87"/>
      <c r="AC2837" s="116"/>
      <c r="AD2837" s="116"/>
      <c r="AE2837" s="116"/>
      <c r="AF2837" s="116"/>
      <c r="AG2837" s="116"/>
      <c r="AH2837" s="116"/>
      <c r="AI2837" s="116"/>
    </row>
    <row r="2838" spans="27:35" ht="18">
      <c r="AA2838" s="116"/>
      <c r="AB2838" s="87"/>
      <c r="AC2838" s="116"/>
      <c r="AD2838" s="116"/>
      <c r="AE2838" s="116"/>
      <c r="AF2838" s="116"/>
      <c r="AG2838" s="116"/>
      <c r="AH2838" s="116"/>
      <c r="AI2838" s="116"/>
    </row>
    <row r="2839" spans="27:35" ht="18">
      <c r="AA2839" s="116"/>
      <c r="AB2839" s="184"/>
      <c r="AC2839" s="116"/>
      <c r="AD2839" s="116"/>
      <c r="AE2839" s="116"/>
      <c r="AF2839" s="116"/>
      <c r="AG2839" s="116"/>
      <c r="AH2839" s="116"/>
      <c r="AI2839" s="116"/>
    </row>
    <row r="2840" spans="27:35" ht="18">
      <c r="AA2840" s="116"/>
      <c r="AB2840" s="87"/>
      <c r="AC2840" s="116"/>
      <c r="AD2840" s="116"/>
      <c r="AE2840" s="116"/>
      <c r="AF2840" s="116"/>
      <c r="AG2840" s="116"/>
      <c r="AH2840" s="116"/>
      <c r="AI2840" s="116"/>
    </row>
    <row r="2841" spans="27:35" ht="18">
      <c r="AA2841" s="116"/>
      <c r="AB2841" s="87"/>
      <c r="AC2841" s="116"/>
      <c r="AD2841" s="116"/>
      <c r="AE2841" s="116"/>
      <c r="AF2841" s="116"/>
      <c r="AG2841" s="116"/>
      <c r="AH2841" s="116"/>
      <c r="AI2841" s="116"/>
    </row>
    <row r="2842" spans="27:35" ht="18">
      <c r="AA2842" s="116"/>
      <c r="AB2842" s="87"/>
      <c r="AC2842" s="116"/>
      <c r="AD2842" s="116"/>
      <c r="AE2842" s="116"/>
      <c r="AF2842" s="116"/>
      <c r="AG2842" s="116"/>
      <c r="AH2842" s="116"/>
      <c r="AI2842" s="116"/>
    </row>
    <row r="2843" spans="27:35" ht="18">
      <c r="AA2843" s="116"/>
      <c r="AB2843" s="87"/>
      <c r="AC2843" s="116"/>
      <c r="AD2843" s="116"/>
      <c r="AE2843" s="116"/>
      <c r="AF2843" s="116"/>
      <c r="AG2843" s="116"/>
      <c r="AH2843" s="116"/>
      <c r="AI2843" s="116"/>
    </row>
    <row r="2844" spans="27:35" ht="18">
      <c r="AA2844" s="116"/>
      <c r="AB2844" s="87"/>
      <c r="AC2844" s="116"/>
      <c r="AD2844" s="116"/>
      <c r="AE2844" s="116"/>
      <c r="AF2844" s="116"/>
      <c r="AG2844" s="116"/>
      <c r="AH2844" s="116"/>
      <c r="AI2844" s="116"/>
    </row>
    <row r="2845" spans="27:35" ht="18">
      <c r="AA2845" s="116"/>
      <c r="AB2845" s="87"/>
      <c r="AC2845" s="116"/>
      <c r="AD2845" s="116"/>
      <c r="AE2845" s="116"/>
      <c r="AF2845" s="116"/>
      <c r="AG2845" s="116"/>
      <c r="AH2845" s="116"/>
      <c r="AI2845" s="116"/>
    </row>
    <row r="2846" spans="27:35" ht="18">
      <c r="AA2846" s="116"/>
      <c r="AB2846" s="87"/>
      <c r="AC2846" s="116"/>
      <c r="AD2846" s="116"/>
      <c r="AE2846" s="116"/>
      <c r="AF2846" s="116"/>
      <c r="AG2846" s="116"/>
      <c r="AH2846" s="116"/>
      <c r="AI2846" s="116"/>
    </row>
    <row r="2847" spans="27:35" ht="18">
      <c r="AA2847" s="116"/>
      <c r="AB2847" s="87"/>
      <c r="AC2847" s="116"/>
      <c r="AD2847" s="116"/>
      <c r="AE2847" s="116"/>
      <c r="AF2847" s="116"/>
      <c r="AG2847" s="116"/>
      <c r="AH2847" s="116"/>
      <c r="AI2847" s="116"/>
    </row>
    <row r="2848" spans="27:35" ht="18">
      <c r="AA2848" s="116"/>
      <c r="AB2848" s="87"/>
      <c r="AC2848" s="116"/>
      <c r="AD2848" s="116"/>
      <c r="AE2848" s="116"/>
      <c r="AF2848" s="116"/>
      <c r="AG2848" s="116"/>
      <c r="AH2848" s="116"/>
      <c r="AI2848" s="116"/>
    </row>
    <row r="2849" spans="27:35" ht="18">
      <c r="AA2849" s="116"/>
      <c r="AB2849" s="87"/>
      <c r="AC2849" s="116"/>
      <c r="AD2849" s="116"/>
      <c r="AE2849" s="116"/>
      <c r="AF2849" s="116"/>
      <c r="AG2849" s="116"/>
      <c r="AH2849" s="116"/>
      <c r="AI2849" s="116"/>
    </row>
    <row r="2850" spans="27:35" ht="18">
      <c r="AA2850" s="116"/>
      <c r="AB2850" s="87"/>
      <c r="AC2850" s="116"/>
      <c r="AD2850" s="116"/>
      <c r="AE2850" s="116"/>
      <c r="AF2850" s="116"/>
      <c r="AG2850" s="116"/>
      <c r="AH2850" s="116"/>
      <c r="AI2850" s="116"/>
    </row>
    <row r="2851" spans="27:35" ht="18">
      <c r="AA2851" s="116"/>
      <c r="AB2851" s="87"/>
      <c r="AC2851" s="116"/>
      <c r="AD2851" s="116"/>
      <c r="AE2851" s="116"/>
      <c r="AF2851" s="116"/>
      <c r="AG2851" s="116"/>
      <c r="AH2851" s="116"/>
      <c r="AI2851" s="116"/>
    </row>
    <row r="2852" spans="27:35" ht="18">
      <c r="AA2852" s="116"/>
      <c r="AB2852" s="87"/>
      <c r="AC2852" s="116"/>
      <c r="AD2852" s="116"/>
      <c r="AE2852" s="116"/>
      <c r="AF2852" s="116"/>
      <c r="AG2852" s="116"/>
      <c r="AH2852" s="116"/>
      <c r="AI2852" s="116"/>
    </row>
    <row r="2853" spans="27:35" ht="18">
      <c r="AA2853" s="116"/>
      <c r="AB2853" s="87"/>
      <c r="AC2853" s="116"/>
      <c r="AD2853" s="116"/>
      <c r="AE2853" s="116"/>
      <c r="AF2853" s="116"/>
      <c r="AG2853" s="116"/>
      <c r="AH2853" s="116"/>
      <c r="AI2853" s="116"/>
    </row>
    <row r="2854" spans="27:35" ht="18">
      <c r="AA2854" s="116"/>
      <c r="AB2854" s="87"/>
      <c r="AC2854" s="116"/>
      <c r="AD2854" s="116"/>
      <c r="AE2854" s="116"/>
      <c r="AF2854" s="116"/>
      <c r="AG2854" s="116"/>
      <c r="AH2854" s="116"/>
      <c r="AI2854" s="116"/>
    </row>
    <row r="2855" spans="27:35" ht="18">
      <c r="AA2855" s="116"/>
      <c r="AB2855" s="87"/>
      <c r="AC2855" s="116"/>
      <c r="AD2855" s="116"/>
      <c r="AE2855" s="116"/>
      <c r="AF2855" s="116"/>
      <c r="AG2855" s="116"/>
      <c r="AH2855" s="116"/>
      <c r="AI2855" s="116"/>
    </row>
    <row r="2856" spans="27:35" ht="18">
      <c r="AA2856" s="116"/>
      <c r="AB2856" s="87"/>
      <c r="AC2856" s="116"/>
      <c r="AD2856" s="116"/>
      <c r="AE2856" s="116"/>
      <c r="AF2856" s="116"/>
      <c r="AG2856" s="116"/>
      <c r="AH2856" s="116"/>
      <c r="AI2856" s="116"/>
    </row>
    <row r="2857" spans="27:35" ht="18">
      <c r="AA2857" s="116"/>
      <c r="AB2857" s="184"/>
      <c r="AC2857" s="116"/>
      <c r="AD2857" s="116"/>
      <c r="AE2857" s="116"/>
      <c r="AF2857" s="116"/>
      <c r="AG2857" s="116"/>
      <c r="AH2857" s="116"/>
      <c r="AI2857" s="116"/>
    </row>
    <row r="2858" spans="27:35" ht="18">
      <c r="AA2858" s="116"/>
      <c r="AB2858" s="87"/>
      <c r="AC2858" s="116"/>
      <c r="AD2858" s="116"/>
      <c r="AE2858" s="116"/>
      <c r="AF2858" s="116"/>
      <c r="AG2858" s="116"/>
      <c r="AH2858" s="116"/>
      <c r="AI2858" s="116"/>
    </row>
    <row r="2859" spans="27:35" ht="18">
      <c r="AA2859" s="116"/>
      <c r="AB2859" s="87"/>
      <c r="AC2859" s="116"/>
      <c r="AD2859" s="116"/>
      <c r="AE2859" s="116"/>
      <c r="AF2859" s="116"/>
      <c r="AG2859" s="116"/>
      <c r="AH2859" s="116"/>
      <c r="AI2859" s="116"/>
    </row>
    <row r="2860" spans="27:35" ht="18">
      <c r="AA2860" s="116"/>
      <c r="AB2860" s="87"/>
      <c r="AC2860" s="116"/>
      <c r="AD2860" s="116"/>
      <c r="AE2860" s="116"/>
      <c r="AF2860" s="116"/>
      <c r="AG2860" s="116"/>
      <c r="AH2860" s="116"/>
      <c r="AI2860" s="116"/>
    </row>
    <row r="2861" spans="27:35" ht="18">
      <c r="AA2861" s="116"/>
      <c r="AB2861" s="87"/>
      <c r="AC2861" s="116"/>
      <c r="AD2861" s="116"/>
      <c r="AE2861" s="116"/>
      <c r="AF2861" s="116"/>
      <c r="AG2861" s="116"/>
      <c r="AH2861" s="116"/>
      <c r="AI2861" s="116"/>
    </row>
    <row r="2862" spans="27:35" ht="18">
      <c r="AA2862" s="116"/>
      <c r="AB2862" s="87"/>
      <c r="AC2862" s="116"/>
      <c r="AD2862" s="116"/>
      <c r="AE2862" s="116"/>
      <c r="AF2862" s="116"/>
      <c r="AG2862" s="116"/>
      <c r="AH2862" s="116"/>
      <c r="AI2862" s="116"/>
    </row>
    <row r="2863" spans="27:35" ht="18">
      <c r="AA2863" s="116"/>
      <c r="AB2863" s="87"/>
      <c r="AC2863" s="116"/>
      <c r="AD2863" s="116"/>
      <c r="AE2863" s="116"/>
      <c r="AF2863" s="116"/>
      <c r="AG2863" s="116"/>
      <c r="AH2863" s="116"/>
      <c r="AI2863" s="116"/>
    </row>
    <row r="2864" spans="27:35" ht="18">
      <c r="AA2864" s="116"/>
      <c r="AB2864" s="87"/>
      <c r="AC2864" s="116"/>
      <c r="AD2864" s="116"/>
      <c r="AE2864" s="116"/>
      <c r="AF2864" s="116"/>
      <c r="AG2864" s="116"/>
      <c r="AH2864" s="116"/>
      <c r="AI2864" s="116"/>
    </row>
    <row r="2865" spans="27:35" ht="18">
      <c r="AA2865" s="116"/>
      <c r="AB2865" s="87"/>
      <c r="AC2865" s="116"/>
      <c r="AD2865" s="116"/>
      <c r="AE2865" s="116"/>
      <c r="AF2865" s="116"/>
      <c r="AG2865" s="116"/>
      <c r="AH2865" s="116"/>
      <c r="AI2865" s="116"/>
    </row>
    <row r="2866" spans="27:35" ht="18">
      <c r="AA2866" s="116"/>
      <c r="AB2866" s="87"/>
      <c r="AC2866" s="116"/>
      <c r="AD2866" s="116"/>
      <c r="AE2866" s="116"/>
      <c r="AF2866" s="116"/>
      <c r="AG2866" s="116"/>
      <c r="AH2866" s="116"/>
      <c r="AI2866" s="116"/>
    </row>
    <row r="2867" spans="27:35" ht="18">
      <c r="AA2867" s="116"/>
      <c r="AB2867" s="87"/>
      <c r="AC2867" s="116"/>
      <c r="AD2867" s="116"/>
      <c r="AE2867" s="116"/>
      <c r="AF2867" s="116"/>
      <c r="AG2867" s="116"/>
      <c r="AH2867" s="116"/>
      <c r="AI2867" s="116"/>
    </row>
    <row r="2868" spans="27:35" ht="18">
      <c r="AA2868" s="116"/>
      <c r="AB2868" s="87"/>
      <c r="AC2868" s="116"/>
      <c r="AD2868" s="116"/>
      <c r="AE2868" s="116"/>
      <c r="AF2868" s="116"/>
      <c r="AG2868" s="116"/>
      <c r="AH2868" s="116"/>
      <c r="AI2868" s="116"/>
    </row>
    <row r="2869" spans="27:35" ht="18">
      <c r="AA2869" s="116"/>
      <c r="AB2869" s="87"/>
      <c r="AC2869" s="116"/>
      <c r="AD2869" s="116"/>
      <c r="AE2869" s="116"/>
      <c r="AF2869" s="116"/>
      <c r="AG2869" s="116"/>
      <c r="AH2869" s="116"/>
      <c r="AI2869" s="116"/>
    </row>
    <row r="2870" spans="27:35" ht="18">
      <c r="AA2870" s="116"/>
      <c r="AB2870" s="184"/>
      <c r="AC2870" s="116"/>
      <c r="AD2870" s="116"/>
      <c r="AE2870" s="116"/>
      <c r="AF2870" s="116"/>
      <c r="AG2870" s="116"/>
      <c r="AH2870" s="116"/>
      <c r="AI2870" s="116"/>
    </row>
    <row r="2871" spans="27:35" ht="18">
      <c r="AA2871" s="116"/>
      <c r="AB2871" s="184"/>
      <c r="AC2871" s="116"/>
      <c r="AD2871" s="116"/>
      <c r="AE2871" s="116"/>
      <c r="AF2871" s="116"/>
      <c r="AG2871" s="116"/>
      <c r="AH2871" s="116"/>
      <c r="AI2871" s="116"/>
    </row>
    <row r="2872" spans="27:35" ht="18">
      <c r="AA2872" s="116"/>
      <c r="AB2872" s="87"/>
      <c r="AC2872" s="116"/>
      <c r="AD2872" s="116"/>
      <c r="AE2872" s="116"/>
      <c r="AF2872" s="116"/>
      <c r="AG2872" s="116"/>
      <c r="AH2872" s="116"/>
      <c r="AI2872" s="116"/>
    </row>
    <row r="2873" spans="27:35" ht="18">
      <c r="AA2873" s="116"/>
      <c r="AB2873" s="87"/>
      <c r="AC2873" s="116"/>
      <c r="AD2873" s="116"/>
      <c r="AE2873" s="116"/>
      <c r="AF2873" s="116"/>
      <c r="AG2873" s="116"/>
      <c r="AH2873" s="116"/>
      <c r="AI2873" s="116"/>
    </row>
    <row r="2874" spans="27:35" ht="18">
      <c r="AA2874" s="116"/>
      <c r="AB2874" s="87"/>
      <c r="AC2874" s="116"/>
      <c r="AD2874" s="116"/>
      <c r="AE2874" s="116"/>
      <c r="AF2874" s="116"/>
      <c r="AG2874" s="116"/>
      <c r="AH2874" s="116"/>
      <c r="AI2874" s="116"/>
    </row>
    <row r="2875" spans="27:35" ht="18">
      <c r="AA2875" s="116"/>
      <c r="AB2875" s="87"/>
      <c r="AC2875" s="116"/>
      <c r="AD2875" s="116"/>
      <c r="AE2875" s="116"/>
      <c r="AF2875" s="116"/>
      <c r="AG2875" s="116"/>
      <c r="AH2875" s="116"/>
      <c r="AI2875" s="116"/>
    </row>
    <row r="2876" spans="27:35" ht="18">
      <c r="AA2876" s="116"/>
      <c r="AB2876" s="184"/>
      <c r="AC2876" s="116"/>
      <c r="AD2876" s="116"/>
      <c r="AE2876" s="116"/>
      <c r="AF2876" s="116"/>
      <c r="AG2876" s="116"/>
      <c r="AH2876" s="116"/>
      <c r="AI2876" s="116"/>
    </row>
    <row r="2877" spans="27:35" ht="18">
      <c r="AA2877" s="116"/>
      <c r="AB2877" s="87"/>
      <c r="AC2877" s="116"/>
      <c r="AD2877" s="116"/>
      <c r="AE2877" s="116"/>
      <c r="AF2877" s="116"/>
      <c r="AG2877" s="116"/>
      <c r="AH2877" s="116"/>
      <c r="AI2877" s="116"/>
    </row>
    <row r="2878" spans="27:35" ht="18">
      <c r="AA2878" s="116"/>
      <c r="AB2878" s="87"/>
      <c r="AC2878" s="116"/>
      <c r="AD2878" s="116"/>
      <c r="AE2878" s="116"/>
      <c r="AF2878" s="116"/>
      <c r="AG2878" s="116"/>
      <c r="AH2878" s="116"/>
      <c r="AI2878" s="116"/>
    </row>
    <row r="2879" spans="27:35" ht="18">
      <c r="AA2879" s="116"/>
      <c r="AB2879" s="87"/>
      <c r="AC2879" s="116"/>
      <c r="AD2879" s="116"/>
      <c r="AE2879" s="116"/>
      <c r="AF2879" s="116"/>
      <c r="AG2879" s="116"/>
      <c r="AH2879" s="116"/>
      <c r="AI2879" s="116"/>
    </row>
    <row r="2880" spans="27:35" ht="18">
      <c r="AA2880" s="116"/>
      <c r="AB2880" s="87"/>
      <c r="AC2880" s="116"/>
      <c r="AD2880" s="116"/>
      <c r="AE2880" s="116"/>
      <c r="AF2880" s="116"/>
      <c r="AG2880" s="116"/>
      <c r="AH2880" s="116"/>
      <c r="AI2880" s="116"/>
    </row>
    <row r="2881" spans="27:35" ht="18">
      <c r="AA2881" s="116"/>
      <c r="AB2881" s="184"/>
      <c r="AC2881" s="116"/>
      <c r="AD2881" s="116"/>
      <c r="AE2881" s="116"/>
      <c r="AF2881" s="116"/>
      <c r="AG2881" s="116"/>
      <c r="AH2881" s="116"/>
      <c r="AI2881" s="116"/>
    </row>
    <row r="2882" spans="27:35" ht="18">
      <c r="AA2882" s="116"/>
      <c r="AB2882" s="87"/>
      <c r="AC2882" s="116"/>
      <c r="AD2882" s="116"/>
      <c r="AE2882" s="116"/>
      <c r="AF2882" s="116"/>
      <c r="AG2882" s="116"/>
      <c r="AH2882" s="116"/>
      <c r="AI2882" s="116"/>
    </row>
    <row r="2883" spans="27:35" ht="18">
      <c r="AA2883" s="116"/>
      <c r="AB2883" s="87"/>
      <c r="AC2883" s="116"/>
      <c r="AD2883" s="116"/>
      <c r="AE2883" s="116"/>
      <c r="AF2883" s="116"/>
      <c r="AG2883" s="116"/>
      <c r="AH2883" s="116"/>
      <c r="AI2883" s="116"/>
    </row>
    <row r="2884" spans="27:35" ht="18">
      <c r="AA2884" s="116"/>
      <c r="AB2884" s="87"/>
      <c r="AC2884" s="116"/>
      <c r="AD2884" s="116"/>
      <c r="AE2884" s="116"/>
      <c r="AF2884" s="116"/>
      <c r="AG2884" s="116"/>
      <c r="AH2884" s="116"/>
      <c r="AI2884" s="116"/>
    </row>
    <row r="2885" spans="27:35" ht="18">
      <c r="AA2885" s="116"/>
      <c r="AB2885" s="87"/>
      <c r="AC2885" s="116"/>
      <c r="AD2885" s="116"/>
      <c r="AE2885" s="116"/>
      <c r="AF2885" s="116"/>
      <c r="AG2885" s="116"/>
      <c r="AH2885" s="116"/>
      <c r="AI2885" s="116"/>
    </row>
    <row r="2886" spans="27:35" ht="18">
      <c r="AA2886" s="116"/>
      <c r="AB2886" s="184"/>
      <c r="AC2886" s="116"/>
      <c r="AD2886" s="116"/>
      <c r="AE2886" s="116"/>
      <c r="AF2886" s="116"/>
      <c r="AG2886" s="116"/>
      <c r="AH2886" s="116"/>
      <c r="AI2886" s="116"/>
    </row>
    <row r="2887" spans="27:35" ht="18">
      <c r="AA2887" s="116"/>
      <c r="AB2887" s="87"/>
      <c r="AC2887" s="116"/>
      <c r="AD2887" s="116"/>
      <c r="AE2887" s="116"/>
      <c r="AF2887" s="116"/>
      <c r="AG2887" s="116"/>
      <c r="AH2887" s="116"/>
      <c r="AI2887" s="116"/>
    </row>
    <row r="2888" spans="27:35" ht="18">
      <c r="AA2888" s="116"/>
      <c r="AB2888" s="87"/>
      <c r="AC2888" s="116"/>
      <c r="AD2888" s="116"/>
      <c r="AE2888" s="116"/>
      <c r="AF2888" s="116"/>
      <c r="AG2888" s="116"/>
      <c r="AH2888" s="116"/>
      <c r="AI2888" s="116"/>
    </row>
    <row r="2889" spans="27:35" ht="18">
      <c r="AA2889" s="116"/>
      <c r="AB2889" s="87"/>
      <c r="AC2889" s="116"/>
      <c r="AD2889" s="116"/>
      <c r="AE2889" s="116"/>
      <c r="AF2889" s="116"/>
      <c r="AG2889" s="116"/>
      <c r="AH2889" s="116"/>
      <c r="AI2889" s="116"/>
    </row>
    <row r="2890" spans="27:35" ht="18">
      <c r="AA2890" s="116"/>
      <c r="AB2890" s="87"/>
      <c r="AC2890" s="116"/>
      <c r="AD2890" s="116"/>
      <c r="AE2890" s="116"/>
      <c r="AF2890" s="116"/>
      <c r="AG2890" s="116"/>
      <c r="AH2890" s="116"/>
      <c r="AI2890" s="116"/>
    </row>
    <row r="2891" spans="27:35" ht="18">
      <c r="AA2891" s="116"/>
      <c r="AB2891" s="184"/>
      <c r="AC2891" s="116"/>
      <c r="AD2891" s="116"/>
      <c r="AE2891" s="116"/>
      <c r="AF2891" s="116"/>
      <c r="AG2891" s="116"/>
      <c r="AH2891" s="116"/>
      <c r="AI2891" s="116"/>
    </row>
    <row r="2892" spans="27:35" ht="18">
      <c r="AA2892" s="116"/>
      <c r="AB2892" s="87"/>
      <c r="AC2892" s="116"/>
      <c r="AD2892" s="116"/>
      <c r="AE2892" s="116"/>
      <c r="AF2892" s="116"/>
      <c r="AG2892" s="116"/>
      <c r="AH2892" s="116"/>
      <c r="AI2892" s="116"/>
    </row>
    <row r="2893" spans="27:35" ht="18">
      <c r="AA2893" s="116"/>
      <c r="AB2893" s="87"/>
      <c r="AC2893" s="116"/>
      <c r="AD2893" s="116"/>
      <c r="AE2893" s="116"/>
      <c r="AF2893" s="116"/>
      <c r="AG2893" s="116"/>
      <c r="AH2893" s="116"/>
      <c r="AI2893" s="116"/>
    </row>
    <row r="2894" spans="27:35" ht="18">
      <c r="AA2894" s="116"/>
      <c r="AB2894" s="87"/>
      <c r="AC2894" s="116"/>
      <c r="AD2894" s="116"/>
      <c r="AE2894" s="116"/>
      <c r="AF2894" s="116"/>
      <c r="AG2894" s="116"/>
      <c r="AH2894" s="116"/>
      <c r="AI2894" s="116"/>
    </row>
    <row r="2895" spans="27:35" ht="18">
      <c r="AA2895" s="116"/>
      <c r="AB2895" s="87"/>
      <c r="AC2895" s="116"/>
      <c r="AD2895" s="116"/>
      <c r="AE2895" s="116"/>
      <c r="AF2895" s="116"/>
      <c r="AG2895" s="116"/>
      <c r="AH2895" s="116"/>
      <c r="AI2895" s="116"/>
    </row>
    <row r="2896" spans="27:35" ht="18">
      <c r="AA2896" s="116"/>
      <c r="AB2896" s="184"/>
      <c r="AC2896" s="116"/>
      <c r="AD2896" s="116"/>
      <c r="AE2896" s="116"/>
      <c r="AF2896" s="116"/>
      <c r="AG2896" s="116"/>
      <c r="AH2896" s="116"/>
      <c r="AI2896" s="116"/>
    </row>
    <row r="2897" spans="27:35" ht="18">
      <c r="AA2897" s="116"/>
      <c r="AB2897" s="87"/>
      <c r="AC2897" s="116"/>
      <c r="AD2897" s="116"/>
      <c r="AE2897" s="116"/>
      <c r="AF2897" s="116"/>
      <c r="AG2897" s="116"/>
      <c r="AH2897" s="116"/>
      <c r="AI2897" s="116"/>
    </row>
    <row r="2898" spans="27:35" ht="18">
      <c r="AA2898" s="116"/>
      <c r="AB2898" s="87"/>
      <c r="AC2898" s="116"/>
      <c r="AD2898" s="116"/>
      <c r="AE2898" s="116"/>
      <c r="AF2898" s="116"/>
      <c r="AG2898" s="116"/>
      <c r="AH2898" s="116"/>
      <c r="AI2898" s="116"/>
    </row>
    <row r="2899" spans="27:35" ht="18">
      <c r="AA2899" s="116"/>
      <c r="AB2899" s="87"/>
      <c r="AC2899" s="116"/>
      <c r="AD2899" s="116"/>
      <c r="AE2899" s="116"/>
      <c r="AF2899" s="116"/>
      <c r="AG2899" s="116"/>
      <c r="AH2899" s="116"/>
      <c r="AI2899" s="116"/>
    </row>
    <row r="2900" spans="27:35" ht="18">
      <c r="AA2900" s="116"/>
      <c r="AB2900" s="87"/>
      <c r="AC2900" s="116"/>
      <c r="AD2900" s="116"/>
      <c r="AE2900" s="116"/>
      <c r="AF2900" s="116"/>
      <c r="AG2900" s="116"/>
      <c r="AH2900" s="116"/>
      <c r="AI2900" s="116"/>
    </row>
    <row r="2901" spans="27:35" ht="18">
      <c r="AA2901" s="116"/>
      <c r="AB2901" s="87"/>
      <c r="AC2901" s="116"/>
      <c r="AD2901" s="116"/>
      <c r="AE2901" s="116"/>
      <c r="AF2901" s="116"/>
      <c r="AG2901" s="116"/>
      <c r="AH2901" s="116"/>
      <c r="AI2901" s="116"/>
    </row>
    <row r="2902" spans="27:35" ht="18">
      <c r="AA2902" s="116"/>
      <c r="AB2902" s="87"/>
      <c r="AC2902" s="116"/>
      <c r="AD2902" s="116"/>
      <c r="AE2902" s="116"/>
      <c r="AF2902" s="116"/>
      <c r="AG2902" s="116"/>
      <c r="AH2902" s="116"/>
      <c r="AI2902" s="116"/>
    </row>
    <row r="2903" spans="27:35" ht="18">
      <c r="AA2903" s="116"/>
      <c r="AB2903" s="87"/>
      <c r="AC2903" s="116"/>
      <c r="AD2903" s="116"/>
      <c r="AE2903" s="116"/>
      <c r="AF2903" s="116"/>
      <c r="AG2903" s="116"/>
      <c r="AH2903" s="116"/>
      <c r="AI2903" s="116"/>
    </row>
    <row r="2904" spans="27:35" ht="18">
      <c r="AA2904" s="116"/>
      <c r="AB2904" s="87"/>
      <c r="AC2904" s="116"/>
      <c r="AD2904" s="116"/>
      <c r="AE2904" s="116"/>
      <c r="AF2904" s="116"/>
      <c r="AG2904" s="116"/>
      <c r="AH2904" s="116"/>
      <c r="AI2904" s="116"/>
    </row>
    <row r="2905" spans="27:35" ht="18">
      <c r="AA2905" s="116"/>
      <c r="AB2905" s="87"/>
      <c r="AC2905" s="116"/>
      <c r="AD2905" s="116"/>
      <c r="AE2905" s="116"/>
      <c r="AF2905" s="116"/>
      <c r="AG2905" s="116"/>
      <c r="AH2905" s="116"/>
      <c r="AI2905" s="116"/>
    </row>
    <row r="2906" spans="27:35" ht="18">
      <c r="AA2906" s="116"/>
      <c r="AB2906" s="184"/>
      <c r="AC2906" s="116"/>
      <c r="AD2906" s="116"/>
      <c r="AE2906" s="116"/>
      <c r="AF2906" s="116"/>
      <c r="AG2906" s="116"/>
      <c r="AH2906" s="116"/>
      <c r="AI2906" s="116"/>
    </row>
    <row r="2907" spans="27:35" ht="18">
      <c r="AA2907" s="116"/>
      <c r="AB2907" s="87"/>
      <c r="AC2907" s="116"/>
      <c r="AD2907" s="116"/>
      <c r="AE2907" s="116"/>
      <c r="AF2907" s="116"/>
      <c r="AG2907" s="116"/>
      <c r="AH2907" s="116"/>
      <c r="AI2907" s="116"/>
    </row>
    <row r="2908" spans="27:35" ht="18">
      <c r="AA2908" s="116"/>
      <c r="AB2908" s="87"/>
      <c r="AC2908" s="116"/>
      <c r="AD2908" s="116"/>
      <c r="AE2908" s="116"/>
      <c r="AF2908" s="116"/>
      <c r="AG2908" s="116"/>
      <c r="AH2908" s="116"/>
      <c r="AI2908" s="116"/>
    </row>
    <row r="2909" spans="27:35" ht="18">
      <c r="AA2909" s="116"/>
      <c r="AB2909" s="87"/>
      <c r="AC2909" s="116"/>
      <c r="AD2909" s="116"/>
      <c r="AE2909" s="116"/>
      <c r="AF2909" s="116"/>
      <c r="AG2909" s="116"/>
      <c r="AH2909" s="116"/>
      <c r="AI2909" s="116"/>
    </row>
    <row r="2910" spans="27:35" ht="18">
      <c r="AA2910" s="116"/>
      <c r="AB2910" s="87"/>
      <c r="AC2910" s="116"/>
      <c r="AD2910" s="116"/>
      <c r="AE2910" s="116"/>
      <c r="AF2910" s="116"/>
      <c r="AG2910" s="116"/>
      <c r="AH2910" s="116"/>
      <c r="AI2910" s="116"/>
    </row>
    <row r="2911" spans="27:35" ht="18">
      <c r="AA2911" s="116"/>
      <c r="AB2911" s="184"/>
      <c r="AC2911" s="116"/>
      <c r="AD2911" s="116"/>
      <c r="AE2911" s="116"/>
      <c r="AF2911" s="116"/>
      <c r="AG2911" s="116"/>
      <c r="AH2911" s="116"/>
      <c r="AI2911" s="116"/>
    </row>
    <row r="2912" spans="27:35" ht="18">
      <c r="AA2912" s="116"/>
      <c r="AB2912" s="87"/>
      <c r="AC2912" s="116"/>
      <c r="AD2912" s="116"/>
      <c r="AE2912" s="116"/>
      <c r="AF2912" s="116"/>
      <c r="AG2912" s="116"/>
      <c r="AH2912" s="116"/>
      <c r="AI2912" s="116"/>
    </row>
    <row r="2913" spans="27:35" ht="18">
      <c r="AA2913" s="116"/>
      <c r="AB2913" s="87"/>
      <c r="AC2913" s="116"/>
      <c r="AD2913" s="116"/>
      <c r="AE2913" s="116"/>
      <c r="AF2913" s="116"/>
      <c r="AG2913" s="116"/>
      <c r="AH2913" s="116"/>
      <c r="AI2913" s="116"/>
    </row>
    <row r="2914" spans="27:35" ht="18">
      <c r="AA2914" s="116"/>
      <c r="AB2914" s="87"/>
      <c r="AC2914" s="116"/>
      <c r="AD2914" s="116"/>
      <c r="AE2914" s="116"/>
      <c r="AF2914" s="116"/>
      <c r="AG2914" s="116"/>
      <c r="AH2914" s="116"/>
      <c r="AI2914" s="116"/>
    </row>
    <row r="2915" spans="27:35" ht="18">
      <c r="AA2915" s="116"/>
      <c r="AB2915" s="87"/>
      <c r="AC2915" s="116"/>
      <c r="AD2915" s="116"/>
      <c r="AE2915" s="116"/>
      <c r="AF2915" s="116"/>
      <c r="AG2915" s="116"/>
      <c r="AH2915" s="116"/>
      <c r="AI2915" s="116"/>
    </row>
    <row r="2916" spans="27:35" ht="18">
      <c r="AA2916" s="116"/>
      <c r="AB2916" s="184"/>
      <c r="AC2916" s="116"/>
      <c r="AD2916" s="116"/>
      <c r="AE2916" s="116"/>
      <c r="AF2916" s="116"/>
      <c r="AG2916" s="116"/>
      <c r="AH2916" s="116"/>
      <c r="AI2916" s="116"/>
    </row>
    <row r="2917" spans="27:35" ht="18">
      <c r="AA2917" s="116"/>
      <c r="AB2917" s="87"/>
      <c r="AC2917" s="116"/>
      <c r="AD2917" s="116"/>
      <c r="AE2917" s="116"/>
      <c r="AF2917" s="116"/>
      <c r="AG2917" s="116"/>
      <c r="AH2917" s="116"/>
      <c r="AI2917" s="116"/>
    </row>
    <row r="2918" spans="27:35" ht="18">
      <c r="AA2918" s="116"/>
      <c r="AB2918" s="87"/>
      <c r="AC2918" s="116"/>
      <c r="AD2918" s="116"/>
      <c r="AE2918" s="116"/>
      <c r="AF2918" s="116"/>
      <c r="AG2918" s="116"/>
      <c r="AH2918" s="116"/>
      <c r="AI2918" s="116"/>
    </row>
    <row r="2919" spans="27:35" ht="18">
      <c r="AA2919" s="116"/>
      <c r="AB2919" s="87"/>
      <c r="AC2919" s="116"/>
      <c r="AD2919" s="116"/>
      <c r="AE2919" s="116"/>
      <c r="AF2919" s="116"/>
      <c r="AG2919" s="116"/>
      <c r="AH2919" s="116"/>
      <c r="AI2919" s="116"/>
    </row>
    <row r="2920" spans="27:35" ht="18">
      <c r="AA2920" s="116"/>
      <c r="AB2920" s="87"/>
      <c r="AC2920" s="116"/>
      <c r="AD2920" s="116"/>
      <c r="AE2920" s="116"/>
      <c r="AF2920" s="116"/>
      <c r="AG2920" s="116"/>
      <c r="AH2920" s="116"/>
      <c r="AI2920" s="116"/>
    </row>
    <row r="2921" spans="27:35" ht="18">
      <c r="AA2921" s="116"/>
      <c r="AB2921" s="184"/>
      <c r="AC2921" s="116"/>
      <c r="AD2921" s="116"/>
      <c r="AE2921" s="116"/>
      <c r="AF2921" s="116"/>
      <c r="AG2921" s="116"/>
      <c r="AH2921" s="116"/>
      <c r="AI2921" s="116"/>
    </row>
    <row r="2922" spans="27:35" ht="18">
      <c r="AA2922" s="116"/>
      <c r="AB2922" s="87"/>
      <c r="AC2922" s="116"/>
      <c r="AD2922" s="116"/>
      <c r="AE2922" s="116"/>
      <c r="AF2922" s="116"/>
      <c r="AG2922" s="116"/>
      <c r="AH2922" s="116"/>
      <c r="AI2922" s="116"/>
    </row>
    <row r="2923" spans="27:35" ht="18">
      <c r="AA2923" s="116"/>
      <c r="AB2923" s="87"/>
      <c r="AC2923" s="116"/>
      <c r="AD2923" s="116"/>
      <c r="AE2923" s="116"/>
      <c r="AF2923" s="116"/>
      <c r="AG2923" s="116"/>
      <c r="AH2923" s="116"/>
      <c r="AI2923" s="116"/>
    </row>
    <row r="2924" spans="27:35" ht="18">
      <c r="AA2924" s="116"/>
      <c r="AB2924" s="87"/>
      <c r="AC2924" s="116"/>
      <c r="AD2924" s="116"/>
      <c r="AE2924" s="116"/>
      <c r="AF2924" s="116"/>
      <c r="AG2924" s="116"/>
      <c r="AH2924" s="116"/>
      <c r="AI2924" s="116"/>
    </row>
    <row r="2925" spans="27:35" ht="18">
      <c r="AA2925" s="116"/>
      <c r="AB2925" s="87"/>
      <c r="AC2925" s="116"/>
      <c r="AD2925" s="116"/>
      <c r="AE2925" s="116"/>
      <c r="AF2925" s="116"/>
      <c r="AG2925" s="116"/>
      <c r="AH2925" s="116"/>
      <c r="AI2925" s="116"/>
    </row>
    <row r="2926" spans="27:35" ht="18">
      <c r="AA2926" s="116"/>
      <c r="AB2926" s="184"/>
      <c r="AC2926" s="116"/>
      <c r="AD2926" s="116"/>
      <c r="AE2926" s="116"/>
      <c r="AF2926" s="116"/>
      <c r="AG2926" s="116"/>
      <c r="AH2926" s="116"/>
      <c r="AI2926" s="116"/>
    </row>
    <row r="2927" spans="27:35" ht="18">
      <c r="AA2927" s="116"/>
      <c r="AB2927" s="87"/>
      <c r="AC2927" s="116"/>
      <c r="AD2927" s="116"/>
      <c r="AE2927" s="116"/>
      <c r="AF2927" s="116"/>
      <c r="AG2927" s="116"/>
      <c r="AH2927" s="116"/>
      <c r="AI2927" s="116"/>
    </row>
    <row r="2928" spans="27:35" ht="18">
      <c r="AA2928" s="116"/>
      <c r="AB2928" s="87"/>
      <c r="AC2928" s="116"/>
      <c r="AD2928" s="116"/>
      <c r="AE2928" s="116"/>
      <c r="AF2928" s="116"/>
      <c r="AG2928" s="116"/>
      <c r="AH2928" s="116"/>
      <c r="AI2928" s="116"/>
    </row>
    <row r="2929" spans="27:35" ht="18">
      <c r="AA2929" s="116"/>
      <c r="AB2929" s="87"/>
      <c r="AC2929" s="116"/>
      <c r="AD2929" s="116"/>
      <c r="AE2929" s="116"/>
      <c r="AF2929" s="116"/>
      <c r="AG2929" s="116"/>
      <c r="AH2929" s="116"/>
      <c r="AI2929" s="116"/>
    </row>
    <row r="2930" spans="27:35" ht="18">
      <c r="AA2930" s="116"/>
      <c r="AB2930" s="87"/>
      <c r="AC2930" s="116"/>
      <c r="AD2930" s="116"/>
      <c r="AE2930" s="116"/>
      <c r="AF2930" s="116"/>
      <c r="AG2930" s="116"/>
      <c r="AH2930" s="116"/>
      <c r="AI2930" s="116"/>
    </row>
    <row r="2931" spans="27:35" ht="18">
      <c r="AA2931" s="116"/>
      <c r="AB2931" s="184"/>
      <c r="AC2931" s="116"/>
      <c r="AD2931" s="116"/>
      <c r="AE2931" s="116"/>
      <c r="AF2931" s="116"/>
      <c r="AG2931" s="116"/>
      <c r="AH2931" s="116"/>
      <c r="AI2931" s="116"/>
    </row>
    <row r="2932" spans="27:35" ht="18">
      <c r="AA2932" s="116"/>
      <c r="AB2932" s="87"/>
      <c r="AC2932" s="116"/>
      <c r="AD2932" s="116"/>
      <c r="AE2932" s="116"/>
      <c r="AF2932" s="116"/>
      <c r="AG2932" s="116"/>
      <c r="AH2932" s="116"/>
      <c r="AI2932" s="116"/>
    </row>
    <row r="2933" spans="27:35" ht="18">
      <c r="AA2933" s="116"/>
      <c r="AB2933" s="87"/>
      <c r="AC2933" s="116"/>
      <c r="AD2933" s="116"/>
      <c r="AE2933" s="116"/>
      <c r="AF2933" s="116"/>
      <c r="AG2933" s="116"/>
      <c r="AH2933" s="116"/>
      <c r="AI2933" s="116"/>
    </row>
    <row r="2934" spans="27:35" ht="18">
      <c r="AA2934" s="116"/>
      <c r="AB2934" s="87"/>
      <c r="AC2934" s="116"/>
      <c r="AD2934" s="116"/>
      <c r="AE2934" s="116"/>
      <c r="AF2934" s="116"/>
      <c r="AG2934" s="116"/>
      <c r="AH2934" s="116"/>
      <c r="AI2934" s="116"/>
    </row>
    <row r="2935" spans="27:35" ht="18">
      <c r="AA2935" s="116"/>
      <c r="AB2935" s="87"/>
      <c r="AC2935" s="116"/>
      <c r="AD2935" s="116"/>
      <c r="AE2935" s="116"/>
      <c r="AF2935" s="116"/>
      <c r="AG2935" s="116"/>
      <c r="AH2935" s="116"/>
      <c r="AI2935" s="116"/>
    </row>
    <row r="2936" spans="27:35" ht="18">
      <c r="AA2936" s="116"/>
      <c r="AB2936" s="184"/>
      <c r="AC2936" s="116"/>
      <c r="AD2936" s="116"/>
      <c r="AE2936" s="116"/>
      <c r="AF2936" s="116"/>
      <c r="AG2936" s="116"/>
      <c r="AH2936" s="116"/>
      <c r="AI2936" s="116"/>
    </row>
    <row r="2937" spans="27:35" ht="18">
      <c r="AA2937" s="116"/>
      <c r="AB2937" s="87"/>
      <c r="AC2937" s="116"/>
      <c r="AD2937" s="116"/>
      <c r="AE2937" s="116"/>
      <c r="AF2937" s="116"/>
      <c r="AG2937" s="116"/>
      <c r="AH2937" s="116"/>
      <c r="AI2937" s="116"/>
    </row>
    <row r="2938" spans="27:35" ht="18">
      <c r="AA2938" s="116"/>
      <c r="AB2938" s="87"/>
      <c r="AC2938" s="116"/>
      <c r="AD2938" s="116"/>
      <c r="AE2938" s="116"/>
      <c r="AF2938" s="116"/>
      <c r="AG2938" s="116"/>
      <c r="AH2938" s="116"/>
      <c r="AI2938" s="116"/>
    </row>
    <row r="2939" spans="27:35" ht="18">
      <c r="AA2939" s="116"/>
      <c r="AB2939" s="87"/>
      <c r="AC2939" s="116"/>
      <c r="AD2939" s="116"/>
      <c r="AE2939" s="116"/>
      <c r="AF2939" s="116"/>
      <c r="AG2939" s="116"/>
      <c r="AH2939" s="116"/>
      <c r="AI2939" s="116"/>
    </row>
    <row r="2940" spans="27:35" ht="18">
      <c r="AA2940" s="116"/>
      <c r="AB2940" s="87"/>
      <c r="AC2940" s="116"/>
      <c r="AD2940" s="116"/>
      <c r="AE2940" s="116"/>
      <c r="AF2940" s="116"/>
      <c r="AG2940" s="116"/>
      <c r="AH2940" s="116"/>
      <c r="AI2940" s="116"/>
    </row>
    <row r="2941" spans="27:35" ht="18">
      <c r="AA2941" s="116"/>
      <c r="AB2941" s="87"/>
      <c r="AC2941" s="116"/>
      <c r="AD2941" s="116"/>
      <c r="AE2941" s="116"/>
      <c r="AF2941" s="116"/>
      <c r="AG2941" s="116"/>
      <c r="AH2941" s="116"/>
      <c r="AI2941" s="116"/>
    </row>
    <row r="2942" spans="27:35" ht="18">
      <c r="AA2942" s="116"/>
      <c r="AB2942" s="87"/>
      <c r="AC2942" s="116"/>
      <c r="AD2942" s="116"/>
      <c r="AE2942" s="116"/>
      <c r="AF2942" s="116"/>
      <c r="AG2942" s="116"/>
      <c r="AH2942" s="116"/>
      <c r="AI2942" s="116"/>
    </row>
    <row r="2943" spans="27:35" ht="18">
      <c r="AA2943" s="116"/>
      <c r="AB2943" s="87"/>
      <c r="AC2943" s="116"/>
      <c r="AD2943" s="116"/>
      <c r="AE2943" s="116"/>
      <c r="AF2943" s="116"/>
      <c r="AG2943" s="116"/>
      <c r="AH2943" s="116"/>
      <c r="AI2943" s="116"/>
    </row>
    <row r="2944" spans="27:35" ht="18">
      <c r="AA2944" s="116"/>
      <c r="AB2944" s="87"/>
      <c r="AC2944" s="116"/>
      <c r="AD2944" s="116"/>
      <c r="AE2944" s="116"/>
      <c r="AF2944" s="116"/>
      <c r="AG2944" s="116"/>
      <c r="AH2944" s="116"/>
      <c r="AI2944" s="116"/>
    </row>
    <row r="2945" spans="27:35" ht="18">
      <c r="AA2945" s="116"/>
      <c r="AB2945" s="87"/>
      <c r="AC2945" s="116"/>
      <c r="AD2945" s="116"/>
      <c r="AE2945" s="116"/>
      <c r="AF2945" s="116"/>
      <c r="AG2945" s="116"/>
      <c r="AH2945" s="116"/>
      <c r="AI2945" s="116"/>
    </row>
    <row r="2946" spans="27:35" ht="18">
      <c r="AA2946" s="116"/>
      <c r="AB2946" s="184"/>
      <c r="AC2946" s="116"/>
      <c r="AD2946" s="116"/>
      <c r="AE2946" s="116"/>
      <c r="AF2946" s="116"/>
      <c r="AG2946" s="116"/>
      <c r="AH2946" s="116"/>
      <c r="AI2946" s="116"/>
    </row>
    <row r="2947" spans="27:35" ht="18">
      <c r="AA2947" s="116"/>
      <c r="AB2947" s="87"/>
      <c r="AC2947" s="116"/>
      <c r="AD2947" s="116"/>
      <c r="AE2947" s="116"/>
      <c r="AF2947" s="116"/>
      <c r="AG2947" s="116"/>
      <c r="AH2947" s="116"/>
      <c r="AI2947" s="116"/>
    </row>
    <row r="2948" spans="27:35" ht="18">
      <c r="AA2948" s="116"/>
      <c r="AB2948" s="87"/>
      <c r="AC2948" s="116"/>
      <c r="AD2948" s="116"/>
      <c r="AE2948" s="116"/>
      <c r="AF2948" s="116"/>
      <c r="AG2948" s="116"/>
      <c r="AH2948" s="116"/>
      <c r="AI2948" s="116"/>
    </row>
    <row r="2949" spans="27:35" ht="18">
      <c r="AA2949" s="116"/>
      <c r="AB2949" s="87"/>
      <c r="AC2949" s="116"/>
      <c r="AD2949" s="116"/>
      <c r="AE2949" s="116"/>
      <c r="AF2949" s="116"/>
      <c r="AG2949" s="116"/>
      <c r="AH2949" s="116"/>
      <c r="AI2949" s="116"/>
    </row>
    <row r="2950" spans="27:35" ht="18">
      <c r="AA2950" s="116"/>
      <c r="AB2950" s="87"/>
      <c r="AC2950" s="116"/>
      <c r="AD2950" s="116"/>
      <c r="AE2950" s="116"/>
      <c r="AF2950" s="116"/>
      <c r="AG2950" s="116"/>
      <c r="AH2950" s="116"/>
      <c r="AI2950" s="116"/>
    </row>
    <row r="2951" spans="27:35" ht="18">
      <c r="AA2951" s="116"/>
      <c r="AB2951" s="184"/>
      <c r="AC2951" s="116"/>
      <c r="AD2951" s="116"/>
      <c r="AE2951" s="116"/>
      <c r="AF2951" s="116"/>
      <c r="AG2951" s="116"/>
      <c r="AH2951" s="116"/>
      <c r="AI2951" s="116"/>
    </row>
    <row r="2952" spans="27:35" ht="18">
      <c r="AA2952" s="116"/>
      <c r="AB2952" s="87"/>
      <c r="AC2952" s="116"/>
      <c r="AD2952" s="116"/>
      <c r="AE2952" s="116"/>
      <c r="AF2952" s="116"/>
      <c r="AG2952" s="116"/>
      <c r="AH2952" s="116"/>
      <c r="AI2952" s="116"/>
    </row>
    <row r="2953" spans="27:35" ht="18">
      <c r="AA2953" s="116"/>
      <c r="AB2953" s="87"/>
      <c r="AC2953" s="116"/>
      <c r="AD2953" s="116"/>
      <c r="AE2953" s="116"/>
      <c r="AF2953" s="116"/>
      <c r="AG2953" s="116"/>
      <c r="AH2953" s="116"/>
      <c r="AI2953" s="116"/>
    </row>
    <row r="2954" spans="27:35" ht="18">
      <c r="AA2954" s="116"/>
      <c r="AB2954" s="87"/>
      <c r="AC2954" s="116"/>
      <c r="AD2954" s="116"/>
      <c r="AE2954" s="116"/>
      <c r="AF2954" s="116"/>
      <c r="AG2954" s="116"/>
      <c r="AH2954" s="116"/>
      <c r="AI2954" s="116"/>
    </row>
    <row r="2955" spans="27:35" ht="18">
      <c r="AA2955" s="116"/>
      <c r="AB2955" s="87"/>
      <c r="AC2955" s="116"/>
      <c r="AD2955" s="116"/>
      <c r="AE2955" s="116"/>
      <c r="AF2955" s="116"/>
      <c r="AG2955" s="116"/>
      <c r="AH2955" s="116"/>
      <c r="AI2955" s="116"/>
    </row>
    <row r="2956" spans="27:35" ht="18">
      <c r="AA2956" s="116"/>
      <c r="AB2956" s="184"/>
      <c r="AC2956" s="116"/>
      <c r="AD2956" s="116"/>
      <c r="AE2956" s="116"/>
      <c r="AF2956" s="116"/>
      <c r="AG2956" s="116"/>
      <c r="AH2956" s="116"/>
      <c r="AI2956" s="116"/>
    </row>
    <row r="2957" spans="27:35" ht="18">
      <c r="AA2957" s="116"/>
      <c r="AB2957" s="87"/>
      <c r="AC2957" s="116"/>
      <c r="AD2957" s="116"/>
      <c r="AE2957" s="116"/>
      <c r="AF2957" s="116"/>
      <c r="AG2957" s="116"/>
      <c r="AH2957" s="116"/>
      <c r="AI2957" s="116"/>
    </row>
    <row r="2958" spans="27:35" ht="18">
      <c r="AA2958" s="116"/>
      <c r="AB2958" s="87"/>
      <c r="AC2958" s="116"/>
      <c r="AD2958" s="116"/>
      <c r="AE2958" s="116"/>
      <c r="AF2958" s="116"/>
      <c r="AG2958" s="116"/>
      <c r="AH2958" s="116"/>
      <c r="AI2958" s="116"/>
    </row>
    <row r="2959" spans="27:35" ht="18">
      <c r="AA2959" s="116"/>
      <c r="AB2959" s="87"/>
      <c r="AC2959" s="116"/>
      <c r="AD2959" s="116"/>
      <c r="AE2959" s="116"/>
      <c r="AF2959" s="116"/>
      <c r="AG2959" s="116"/>
      <c r="AH2959" s="116"/>
      <c r="AI2959" s="116"/>
    </row>
    <row r="2960" spans="27:35" ht="18">
      <c r="AA2960" s="116"/>
      <c r="AB2960" s="87"/>
      <c r="AC2960" s="116"/>
      <c r="AD2960" s="116"/>
      <c r="AE2960" s="116"/>
      <c r="AF2960" s="116"/>
      <c r="AG2960" s="116"/>
      <c r="AH2960" s="116"/>
      <c r="AI2960" s="116"/>
    </row>
    <row r="2961" spans="27:35" ht="18">
      <c r="AA2961" s="116"/>
      <c r="AB2961" s="184"/>
      <c r="AC2961" s="116"/>
      <c r="AD2961" s="116"/>
      <c r="AE2961" s="116"/>
      <c r="AF2961" s="116"/>
      <c r="AG2961" s="116"/>
      <c r="AH2961" s="116"/>
      <c r="AI2961" s="116"/>
    </row>
    <row r="2962" spans="27:35" ht="18">
      <c r="AA2962" s="116"/>
      <c r="AB2962" s="87"/>
      <c r="AC2962" s="116"/>
      <c r="AD2962" s="116"/>
      <c r="AE2962" s="116"/>
      <c r="AF2962" s="116"/>
      <c r="AG2962" s="116"/>
      <c r="AH2962" s="116"/>
      <c r="AI2962" s="116"/>
    </row>
    <row r="2963" spans="27:35" ht="18">
      <c r="AA2963" s="116"/>
      <c r="AB2963" s="87"/>
      <c r="AC2963" s="116"/>
      <c r="AD2963" s="116"/>
      <c r="AE2963" s="116"/>
      <c r="AF2963" s="116"/>
      <c r="AG2963" s="116"/>
      <c r="AH2963" s="116"/>
      <c r="AI2963" s="116"/>
    </row>
    <row r="2964" spans="27:35" ht="18">
      <c r="AA2964" s="116"/>
      <c r="AB2964" s="184"/>
      <c r="AC2964" s="116"/>
      <c r="AD2964" s="116"/>
      <c r="AE2964" s="116"/>
      <c r="AF2964" s="116"/>
      <c r="AG2964" s="116"/>
      <c r="AH2964" s="116"/>
      <c r="AI2964" s="116"/>
    </row>
    <row r="2965" spans="27:35" ht="18">
      <c r="AA2965" s="116"/>
      <c r="AB2965" s="87"/>
      <c r="AC2965" s="116"/>
      <c r="AD2965" s="116"/>
      <c r="AE2965" s="116"/>
      <c r="AF2965" s="116"/>
      <c r="AG2965" s="116"/>
      <c r="AH2965" s="116"/>
      <c r="AI2965" s="116"/>
    </row>
    <row r="2966" spans="27:35" ht="18">
      <c r="AA2966" s="116"/>
      <c r="AB2966" s="87"/>
      <c r="AC2966" s="116"/>
      <c r="AD2966" s="116"/>
      <c r="AE2966" s="116"/>
      <c r="AF2966" s="116"/>
      <c r="AG2966" s="116"/>
      <c r="AH2966" s="116"/>
      <c r="AI2966" s="116"/>
    </row>
    <row r="2967" spans="27:35" ht="18">
      <c r="AA2967" s="116"/>
      <c r="AB2967" s="87"/>
      <c r="AC2967" s="116"/>
      <c r="AD2967" s="116"/>
      <c r="AE2967" s="116"/>
      <c r="AF2967" s="116"/>
      <c r="AG2967" s="116"/>
      <c r="AH2967" s="116"/>
      <c r="AI2967" s="116"/>
    </row>
    <row r="2968" spans="27:35" ht="18">
      <c r="AA2968" s="116"/>
      <c r="AB2968" s="87"/>
      <c r="AC2968" s="116"/>
      <c r="AD2968" s="116"/>
      <c r="AE2968" s="116"/>
      <c r="AF2968" s="116"/>
      <c r="AG2968" s="116"/>
      <c r="AH2968" s="116"/>
      <c r="AI2968" s="116"/>
    </row>
    <row r="2969" spans="27:35" ht="18">
      <c r="AA2969" s="116"/>
      <c r="AB2969" s="87"/>
      <c r="AC2969" s="116"/>
      <c r="AD2969" s="116"/>
      <c r="AE2969" s="116"/>
      <c r="AF2969" s="116"/>
      <c r="AG2969" s="116"/>
      <c r="AH2969" s="116"/>
      <c r="AI2969" s="116"/>
    </row>
    <row r="2970" spans="27:35" ht="18">
      <c r="AA2970" s="116"/>
      <c r="AB2970" s="87"/>
      <c r="AC2970" s="116"/>
      <c r="AD2970" s="116"/>
      <c r="AE2970" s="116"/>
      <c r="AF2970" s="116"/>
      <c r="AG2970" s="116"/>
      <c r="AH2970" s="116"/>
      <c r="AI2970" s="116"/>
    </row>
    <row r="2971" spans="27:35" ht="18">
      <c r="AA2971" s="116"/>
      <c r="AB2971" s="87"/>
      <c r="AC2971" s="116"/>
      <c r="AD2971" s="116"/>
      <c r="AE2971" s="116"/>
      <c r="AF2971" s="116"/>
      <c r="AG2971" s="116"/>
      <c r="AH2971" s="116"/>
      <c r="AI2971" s="116"/>
    </row>
    <row r="2972" spans="27:35" ht="18">
      <c r="AA2972" s="116"/>
      <c r="AB2972" s="87"/>
      <c r="AC2972" s="116"/>
      <c r="AD2972" s="116"/>
      <c r="AE2972" s="116"/>
      <c r="AF2972" s="116"/>
      <c r="AG2972" s="116"/>
      <c r="AH2972" s="116"/>
      <c r="AI2972" s="116"/>
    </row>
    <row r="2973" spans="27:35" ht="18">
      <c r="AA2973" s="116"/>
      <c r="AB2973" s="87"/>
      <c r="AC2973" s="116"/>
      <c r="AD2973" s="116"/>
      <c r="AE2973" s="116"/>
      <c r="AF2973" s="116"/>
      <c r="AG2973" s="116"/>
      <c r="AH2973" s="116"/>
      <c r="AI2973" s="116"/>
    </row>
    <row r="2974" spans="27:35" ht="18">
      <c r="AA2974" s="116"/>
      <c r="AB2974" s="184"/>
      <c r="AC2974" s="116"/>
      <c r="AD2974" s="116"/>
      <c r="AE2974" s="116"/>
      <c r="AF2974" s="116"/>
      <c r="AG2974" s="116"/>
      <c r="AH2974" s="116"/>
      <c r="AI2974" s="116"/>
    </row>
    <row r="2975" spans="27:35" ht="18">
      <c r="AA2975" s="116"/>
      <c r="AB2975" s="87"/>
      <c r="AC2975" s="116"/>
      <c r="AD2975" s="116"/>
      <c r="AE2975" s="116"/>
      <c r="AF2975" s="116"/>
      <c r="AG2975" s="116"/>
      <c r="AH2975" s="116"/>
      <c r="AI2975" s="116"/>
    </row>
    <row r="2976" spans="27:35" ht="18">
      <c r="AA2976" s="116"/>
      <c r="AB2976" s="87"/>
      <c r="AC2976" s="116"/>
      <c r="AD2976" s="116"/>
      <c r="AE2976" s="116"/>
      <c r="AF2976" s="116"/>
      <c r="AG2976" s="116"/>
      <c r="AH2976" s="116"/>
      <c r="AI2976" s="116"/>
    </row>
    <row r="2977" spans="27:35" ht="18">
      <c r="AA2977" s="116"/>
      <c r="AB2977" s="87"/>
      <c r="AC2977" s="116"/>
      <c r="AD2977" s="116"/>
      <c r="AE2977" s="116"/>
      <c r="AF2977" s="116"/>
      <c r="AG2977" s="116"/>
      <c r="AH2977" s="116"/>
      <c r="AI2977" s="116"/>
    </row>
    <row r="2978" spans="27:35" ht="18">
      <c r="AA2978" s="116"/>
      <c r="AB2978" s="87"/>
      <c r="AC2978" s="116"/>
      <c r="AD2978" s="116"/>
      <c r="AE2978" s="116"/>
      <c r="AF2978" s="116"/>
      <c r="AG2978" s="116"/>
      <c r="AH2978" s="116"/>
      <c r="AI2978" s="116"/>
    </row>
    <row r="2979" spans="27:35" ht="18">
      <c r="AA2979" s="116"/>
      <c r="AB2979" s="184"/>
      <c r="AC2979" s="116"/>
      <c r="AD2979" s="116"/>
      <c r="AE2979" s="116"/>
      <c r="AF2979" s="116"/>
      <c r="AG2979" s="116"/>
      <c r="AH2979" s="116"/>
      <c r="AI2979" s="116"/>
    </row>
    <row r="2980" spans="27:35" ht="18">
      <c r="AA2980" s="116"/>
      <c r="AB2980" s="87"/>
      <c r="AC2980" s="116"/>
      <c r="AD2980" s="116"/>
      <c r="AE2980" s="116"/>
      <c r="AF2980" s="116"/>
      <c r="AG2980" s="116"/>
      <c r="AH2980" s="116"/>
      <c r="AI2980" s="116"/>
    </row>
    <row r="2981" spans="27:35" ht="18">
      <c r="AA2981" s="116"/>
      <c r="AB2981" s="87"/>
      <c r="AC2981" s="116"/>
      <c r="AD2981" s="116"/>
      <c r="AE2981" s="116"/>
      <c r="AF2981" s="116"/>
      <c r="AG2981" s="116"/>
      <c r="AH2981" s="116"/>
      <c r="AI2981" s="116"/>
    </row>
    <row r="2982" spans="27:35" ht="18">
      <c r="AA2982" s="116"/>
      <c r="AB2982" s="87"/>
      <c r="AC2982" s="116"/>
      <c r="AD2982" s="116"/>
      <c r="AE2982" s="116"/>
      <c r="AF2982" s="116"/>
      <c r="AG2982" s="116"/>
      <c r="AH2982" s="116"/>
      <c r="AI2982" s="116"/>
    </row>
    <row r="2983" spans="27:35" ht="18">
      <c r="AA2983" s="116"/>
      <c r="AB2983" s="87"/>
      <c r="AC2983" s="116"/>
      <c r="AD2983" s="116"/>
      <c r="AE2983" s="116"/>
      <c r="AF2983" s="116"/>
      <c r="AG2983" s="116"/>
      <c r="AH2983" s="116"/>
      <c r="AI2983" s="116"/>
    </row>
    <row r="2984" spans="27:35" ht="18">
      <c r="AA2984" s="116"/>
      <c r="AB2984" s="184"/>
      <c r="AC2984" s="116"/>
      <c r="AD2984" s="116"/>
      <c r="AE2984" s="116"/>
      <c r="AF2984" s="116"/>
      <c r="AG2984" s="116"/>
      <c r="AH2984" s="116"/>
      <c r="AI2984" s="116"/>
    </row>
    <row r="2985" spans="27:35" ht="18">
      <c r="AA2985" s="116"/>
      <c r="AB2985" s="87"/>
      <c r="AC2985" s="116"/>
      <c r="AD2985" s="116"/>
      <c r="AE2985" s="116"/>
      <c r="AF2985" s="116"/>
      <c r="AG2985" s="116"/>
      <c r="AH2985" s="116"/>
      <c r="AI2985" s="116"/>
    </row>
    <row r="2986" spans="27:35" ht="18">
      <c r="AA2986" s="116"/>
      <c r="AB2986" s="87"/>
      <c r="AC2986" s="116"/>
      <c r="AD2986" s="116"/>
      <c r="AE2986" s="116"/>
      <c r="AF2986" s="116"/>
      <c r="AG2986" s="116"/>
      <c r="AH2986" s="116"/>
      <c r="AI2986" s="116"/>
    </row>
    <row r="2987" spans="27:35" ht="18">
      <c r="AA2987" s="116"/>
      <c r="AB2987" s="184"/>
      <c r="AC2987" s="116"/>
      <c r="AD2987" s="116"/>
      <c r="AE2987" s="116"/>
      <c r="AF2987" s="116"/>
      <c r="AG2987" s="116"/>
      <c r="AH2987" s="116"/>
      <c r="AI2987" s="116"/>
    </row>
    <row r="2988" spans="27:35" ht="18">
      <c r="AA2988" s="116"/>
      <c r="AB2988" s="87"/>
      <c r="AC2988" s="116"/>
      <c r="AD2988" s="116"/>
      <c r="AE2988" s="116"/>
      <c r="AF2988" s="116"/>
      <c r="AG2988" s="116"/>
      <c r="AH2988" s="116"/>
      <c r="AI2988" s="116"/>
    </row>
    <row r="2989" spans="27:35" ht="18">
      <c r="AA2989" s="116"/>
      <c r="AB2989" s="87"/>
      <c r="AC2989" s="116"/>
      <c r="AD2989" s="116"/>
      <c r="AE2989" s="116"/>
      <c r="AF2989" s="116"/>
      <c r="AG2989" s="116"/>
      <c r="AH2989" s="116"/>
      <c r="AI2989" s="116"/>
    </row>
    <row r="2990" spans="27:35" ht="18">
      <c r="AA2990" s="116"/>
      <c r="AB2990" s="87"/>
      <c r="AC2990" s="116"/>
      <c r="AD2990" s="116"/>
      <c r="AE2990" s="116"/>
      <c r="AF2990" s="116"/>
      <c r="AG2990" s="116"/>
      <c r="AH2990" s="116"/>
      <c r="AI2990" s="116"/>
    </row>
    <row r="2991" spans="27:35" ht="18">
      <c r="AA2991" s="116"/>
      <c r="AB2991" s="87"/>
      <c r="AC2991" s="116"/>
      <c r="AD2991" s="116"/>
      <c r="AE2991" s="116"/>
      <c r="AF2991" s="116"/>
      <c r="AG2991" s="116"/>
      <c r="AH2991" s="116"/>
      <c r="AI2991" s="116"/>
    </row>
    <row r="2992" spans="27:35" ht="18">
      <c r="AA2992" s="116"/>
      <c r="AB2992" s="184"/>
      <c r="AC2992" s="116"/>
      <c r="AD2992" s="116"/>
      <c r="AE2992" s="116"/>
      <c r="AF2992" s="116"/>
      <c r="AG2992" s="116"/>
      <c r="AH2992" s="116"/>
      <c r="AI2992" s="116"/>
    </row>
    <row r="2993" spans="27:35" ht="18">
      <c r="AA2993" s="116"/>
      <c r="AB2993" s="87"/>
      <c r="AC2993" s="116"/>
      <c r="AD2993" s="116"/>
      <c r="AE2993" s="116"/>
      <c r="AF2993" s="116"/>
      <c r="AG2993" s="116"/>
      <c r="AH2993" s="116"/>
      <c r="AI2993" s="116"/>
    </row>
    <row r="2994" spans="27:35" ht="18">
      <c r="AA2994" s="116"/>
      <c r="AB2994" s="87"/>
      <c r="AC2994" s="116"/>
      <c r="AD2994" s="116"/>
      <c r="AE2994" s="116"/>
      <c r="AF2994" s="116"/>
      <c r="AG2994" s="116"/>
      <c r="AH2994" s="116"/>
      <c r="AI2994" s="116"/>
    </row>
    <row r="2995" spans="27:35" ht="18">
      <c r="AA2995" s="116"/>
      <c r="AB2995" s="87"/>
      <c r="AC2995" s="116"/>
      <c r="AD2995" s="116"/>
      <c r="AE2995" s="116"/>
      <c r="AF2995" s="116"/>
      <c r="AG2995" s="116"/>
      <c r="AH2995" s="116"/>
      <c r="AI2995" s="116"/>
    </row>
    <row r="2996" spans="27:35" ht="18">
      <c r="AA2996" s="116"/>
      <c r="AB2996" s="87"/>
      <c r="AC2996" s="116"/>
      <c r="AD2996" s="116"/>
      <c r="AE2996" s="116"/>
      <c r="AF2996" s="116"/>
      <c r="AG2996" s="116"/>
      <c r="AH2996" s="116"/>
      <c r="AI2996" s="116"/>
    </row>
    <row r="2997" spans="27:35" ht="18">
      <c r="AA2997" s="116"/>
      <c r="AB2997" s="184"/>
      <c r="AC2997" s="116"/>
      <c r="AD2997" s="116"/>
      <c r="AE2997" s="116"/>
      <c r="AF2997" s="116"/>
      <c r="AG2997" s="116"/>
      <c r="AH2997" s="116"/>
      <c r="AI2997" s="116"/>
    </row>
    <row r="2998" spans="27:35" ht="18">
      <c r="AA2998" s="116"/>
      <c r="AB2998" s="87"/>
      <c r="AC2998" s="116"/>
      <c r="AD2998" s="116"/>
      <c r="AE2998" s="116"/>
      <c r="AF2998" s="116"/>
      <c r="AG2998" s="116"/>
      <c r="AH2998" s="116"/>
      <c r="AI2998" s="116"/>
    </row>
    <row r="2999" spans="27:35" ht="18">
      <c r="AA2999" s="116"/>
      <c r="AB2999" s="87"/>
      <c r="AC2999" s="116"/>
      <c r="AD2999" s="116"/>
      <c r="AE2999" s="116"/>
      <c r="AF2999" s="116"/>
      <c r="AG2999" s="116"/>
      <c r="AH2999" s="116"/>
      <c r="AI2999" s="116"/>
    </row>
    <row r="3000" spans="27:35" ht="18">
      <c r="AA3000" s="116"/>
      <c r="AB3000" s="87"/>
      <c r="AC3000" s="116"/>
      <c r="AD3000" s="116"/>
      <c r="AE3000" s="116"/>
      <c r="AF3000" s="116"/>
      <c r="AG3000" s="116"/>
      <c r="AH3000" s="116"/>
      <c r="AI3000" s="116"/>
    </row>
    <row r="3001" spans="27:35" ht="18">
      <c r="AA3001" s="116"/>
      <c r="AB3001" s="87"/>
      <c r="AC3001" s="116"/>
      <c r="AD3001" s="116"/>
      <c r="AE3001" s="116"/>
      <c r="AF3001" s="116"/>
      <c r="AG3001" s="116"/>
      <c r="AH3001" s="116"/>
      <c r="AI3001" s="116"/>
    </row>
    <row r="3002" spans="27:35" ht="18">
      <c r="AA3002" s="116"/>
      <c r="AB3002" s="184"/>
      <c r="AC3002" s="116"/>
      <c r="AD3002" s="116"/>
      <c r="AE3002" s="116"/>
      <c r="AF3002" s="116"/>
      <c r="AG3002" s="116"/>
      <c r="AH3002" s="116"/>
      <c r="AI3002" s="116"/>
    </row>
    <row r="3003" spans="27:35" ht="18">
      <c r="AA3003" s="116"/>
      <c r="AB3003" s="87"/>
      <c r="AC3003" s="116"/>
      <c r="AD3003" s="116"/>
      <c r="AE3003" s="116"/>
      <c r="AF3003" s="116"/>
      <c r="AG3003" s="116"/>
      <c r="AH3003" s="116"/>
      <c r="AI3003" s="116"/>
    </row>
    <row r="3004" spans="27:35" ht="18">
      <c r="AA3004" s="116"/>
      <c r="AB3004" s="87"/>
      <c r="AC3004" s="116"/>
      <c r="AD3004" s="116"/>
      <c r="AE3004" s="116"/>
      <c r="AF3004" s="116"/>
      <c r="AG3004" s="116"/>
      <c r="AH3004" s="116"/>
      <c r="AI3004" s="116"/>
    </row>
    <row r="3005" spans="27:35" ht="18">
      <c r="AA3005" s="116"/>
      <c r="AB3005" s="87"/>
      <c r="AC3005" s="116"/>
      <c r="AD3005" s="116"/>
      <c r="AE3005" s="116"/>
      <c r="AF3005" s="116"/>
      <c r="AG3005" s="116"/>
      <c r="AH3005" s="116"/>
      <c r="AI3005" s="116"/>
    </row>
    <row r="3006" spans="27:35" ht="18">
      <c r="AA3006" s="116"/>
      <c r="AB3006" s="87"/>
      <c r="AC3006" s="116"/>
      <c r="AD3006" s="116"/>
      <c r="AE3006" s="116"/>
      <c r="AF3006" s="116"/>
      <c r="AG3006" s="116"/>
      <c r="AH3006" s="116"/>
      <c r="AI3006" s="116"/>
    </row>
    <row r="3007" spans="27:35" ht="18">
      <c r="AA3007" s="116"/>
      <c r="AB3007" s="184"/>
      <c r="AC3007" s="116"/>
      <c r="AD3007" s="116"/>
      <c r="AE3007" s="116"/>
      <c r="AF3007" s="116"/>
      <c r="AG3007" s="116"/>
      <c r="AH3007" s="116"/>
      <c r="AI3007" s="116"/>
    </row>
    <row r="3008" spans="27:35" ht="18">
      <c r="AA3008" s="116"/>
      <c r="AB3008" s="87"/>
      <c r="AC3008" s="116"/>
      <c r="AD3008" s="116"/>
      <c r="AE3008" s="116"/>
      <c r="AF3008" s="116"/>
      <c r="AG3008" s="116"/>
      <c r="AH3008" s="116"/>
      <c r="AI3008" s="116"/>
    </row>
    <row r="3009" spans="27:35" ht="18">
      <c r="AA3009" s="116"/>
      <c r="AB3009" s="87"/>
      <c r="AC3009" s="116"/>
      <c r="AD3009" s="116"/>
      <c r="AE3009" s="116"/>
      <c r="AF3009" s="116"/>
      <c r="AG3009" s="116"/>
      <c r="AH3009" s="116"/>
      <c r="AI3009" s="116"/>
    </row>
    <row r="3010" spans="27:35" ht="18">
      <c r="AA3010" s="116"/>
      <c r="AB3010" s="87"/>
      <c r="AC3010" s="116"/>
      <c r="AD3010" s="116"/>
      <c r="AE3010" s="116"/>
      <c r="AF3010" s="116"/>
      <c r="AG3010" s="116"/>
      <c r="AH3010" s="116"/>
      <c r="AI3010" s="116"/>
    </row>
    <row r="3011" spans="27:35" ht="18">
      <c r="AA3011" s="116"/>
      <c r="AB3011" s="87"/>
      <c r="AC3011" s="116"/>
      <c r="AD3011" s="116"/>
      <c r="AE3011" s="116"/>
      <c r="AF3011" s="116"/>
      <c r="AG3011" s="116"/>
      <c r="AH3011" s="116"/>
      <c r="AI3011" s="116"/>
    </row>
    <row r="3012" spans="27:35" ht="18">
      <c r="AA3012" s="116"/>
      <c r="AB3012" s="184"/>
      <c r="AC3012" s="116"/>
      <c r="AD3012" s="116"/>
      <c r="AE3012" s="116"/>
      <c r="AF3012" s="116"/>
      <c r="AG3012" s="116"/>
      <c r="AH3012" s="116"/>
      <c r="AI3012" s="116"/>
    </row>
    <row r="3013" spans="27:35" ht="18">
      <c r="AA3013" s="116"/>
      <c r="AB3013" s="87"/>
      <c r="AC3013" s="116"/>
      <c r="AD3013" s="116"/>
      <c r="AE3013" s="116"/>
      <c r="AF3013" s="116"/>
      <c r="AG3013" s="116"/>
      <c r="AH3013" s="116"/>
      <c r="AI3013" s="116"/>
    </row>
    <row r="3014" spans="27:35" ht="18">
      <c r="AA3014" s="116"/>
      <c r="AB3014" s="87"/>
      <c r="AC3014" s="116"/>
      <c r="AD3014" s="116"/>
      <c r="AE3014" s="116"/>
      <c r="AF3014" s="116"/>
      <c r="AG3014" s="116"/>
      <c r="AH3014" s="116"/>
      <c r="AI3014" s="116"/>
    </row>
    <row r="3015" spans="27:35" ht="18">
      <c r="AA3015" s="116"/>
      <c r="AB3015" s="87"/>
      <c r="AC3015" s="116"/>
      <c r="AD3015" s="116"/>
      <c r="AE3015" s="116"/>
      <c r="AF3015" s="116"/>
      <c r="AG3015" s="116"/>
      <c r="AH3015" s="116"/>
      <c r="AI3015" s="116"/>
    </row>
    <row r="3016" spans="27:35" ht="18">
      <c r="AA3016" s="116"/>
      <c r="AB3016" s="87"/>
      <c r="AC3016" s="116"/>
      <c r="AD3016" s="116"/>
      <c r="AE3016" s="116"/>
      <c r="AF3016" s="116"/>
      <c r="AG3016" s="116"/>
      <c r="AH3016" s="116"/>
      <c r="AI3016" s="116"/>
    </row>
    <row r="3017" spans="27:35" ht="18">
      <c r="AA3017" s="116"/>
      <c r="AB3017" s="184"/>
      <c r="AC3017" s="116"/>
      <c r="AD3017" s="116"/>
      <c r="AE3017" s="116"/>
      <c r="AF3017" s="116"/>
      <c r="AG3017" s="116"/>
      <c r="AH3017" s="116"/>
      <c r="AI3017" s="116"/>
    </row>
    <row r="3018" spans="27:35" ht="18">
      <c r="AA3018" s="116"/>
      <c r="AB3018" s="87"/>
      <c r="AC3018" s="116"/>
      <c r="AD3018" s="116"/>
      <c r="AE3018" s="116"/>
      <c r="AF3018" s="116"/>
      <c r="AG3018" s="116"/>
      <c r="AH3018" s="116"/>
      <c r="AI3018" s="116"/>
    </row>
    <row r="3019" spans="27:35" ht="18">
      <c r="AA3019" s="116"/>
      <c r="AB3019" s="87"/>
      <c r="AC3019" s="116"/>
      <c r="AD3019" s="116"/>
      <c r="AE3019" s="116"/>
      <c r="AF3019" s="116"/>
      <c r="AG3019" s="116"/>
      <c r="AH3019" s="116"/>
      <c r="AI3019" s="116"/>
    </row>
    <row r="3020" spans="27:35" ht="18">
      <c r="AA3020" s="116"/>
      <c r="AB3020" s="87"/>
      <c r="AC3020" s="116"/>
      <c r="AD3020" s="116"/>
      <c r="AE3020" s="116"/>
      <c r="AF3020" s="116"/>
      <c r="AG3020" s="116"/>
      <c r="AH3020" s="116"/>
      <c r="AI3020" s="116"/>
    </row>
    <row r="3021" spans="27:35" ht="18">
      <c r="AA3021" s="116"/>
      <c r="AB3021" s="87"/>
      <c r="AC3021" s="116"/>
      <c r="AD3021" s="116"/>
      <c r="AE3021" s="116"/>
      <c r="AF3021" s="116"/>
      <c r="AG3021" s="116"/>
      <c r="AH3021" s="116"/>
      <c r="AI3021" s="116"/>
    </row>
    <row r="3022" spans="27:35" ht="18">
      <c r="AA3022" s="116"/>
      <c r="AB3022" s="184"/>
      <c r="AC3022" s="116"/>
      <c r="AD3022" s="116"/>
      <c r="AE3022" s="116"/>
      <c r="AF3022" s="116"/>
      <c r="AG3022" s="116"/>
      <c r="AH3022" s="116"/>
      <c r="AI3022" s="116"/>
    </row>
    <row r="3023" spans="27:35" ht="18">
      <c r="AA3023" s="116"/>
      <c r="AB3023" s="184"/>
      <c r="AC3023" s="116"/>
      <c r="AD3023" s="116"/>
      <c r="AE3023" s="116"/>
      <c r="AF3023" s="116"/>
      <c r="AG3023" s="116"/>
      <c r="AH3023" s="116"/>
      <c r="AI3023" s="116"/>
    </row>
    <row r="3024" spans="27:35" ht="18">
      <c r="AA3024" s="116"/>
      <c r="AB3024" s="87"/>
      <c r="AC3024" s="116"/>
      <c r="AD3024" s="116"/>
      <c r="AE3024" s="116"/>
      <c r="AF3024" s="116"/>
      <c r="AG3024" s="116"/>
      <c r="AH3024" s="116"/>
      <c r="AI3024" s="116"/>
    </row>
    <row r="3025" spans="27:35" ht="18">
      <c r="AA3025" s="116"/>
      <c r="AB3025" s="87"/>
      <c r="AC3025" s="116"/>
      <c r="AD3025" s="116"/>
      <c r="AE3025" s="116"/>
      <c r="AF3025" s="116"/>
      <c r="AG3025" s="116"/>
      <c r="AH3025" s="116"/>
      <c r="AI3025" s="116"/>
    </row>
    <row r="3026" spans="27:35" ht="18">
      <c r="AA3026" s="116"/>
      <c r="AB3026" s="184"/>
      <c r="AC3026" s="116"/>
      <c r="AD3026" s="116"/>
      <c r="AE3026" s="116"/>
      <c r="AF3026" s="116"/>
      <c r="AG3026" s="116"/>
      <c r="AH3026" s="116"/>
      <c r="AI3026" s="116"/>
    </row>
    <row r="3027" spans="27:35" ht="18">
      <c r="AA3027" s="116"/>
      <c r="AB3027" s="87"/>
      <c r="AC3027" s="116"/>
      <c r="AD3027" s="116"/>
      <c r="AE3027" s="116"/>
      <c r="AF3027" s="116"/>
      <c r="AG3027" s="116"/>
      <c r="AH3027" s="116"/>
      <c r="AI3027" s="116"/>
    </row>
    <row r="3028" spans="27:35" ht="18">
      <c r="AA3028" s="116"/>
      <c r="AB3028" s="87"/>
      <c r="AC3028" s="116"/>
      <c r="AD3028" s="116"/>
      <c r="AE3028" s="116"/>
      <c r="AF3028" s="116"/>
      <c r="AG3028" s="116"/>
      <c r="AH3028" s="116"/>
      <c r="AI3028" s="116"/>
    </row>
    <row r="3029" spans="27:35" ht="18">
      <c r="AA3029" s="116"/>
      <c r="AB3029" s="87"/>
      <c r="AC3029" s="116"/>
      <c r="AD3029" s="116"/>
      <c r="AE3029" s="116"/>
      <c r="AF3029" s="116"/>
      <c r="AG3029" s="116"/>
      <c r="AH3029" s="116"/>
      <c r="AI3029" s="116"/>
    </row>
    <row r="3030" spans="27:35" ht="18">
      <c r="AA3030" s="116"/>
      <c r="AB3030" s="87"/>
      <c r="AC3030" s="116"/>
      <c r="AD3030" s="116"/>
      <c r="AE3030" s="116"/>
      <c r="AF3030" s="116"/>
      <c r="AG3030" s="116"/>
      <c r="AH3030" s="116"/>
      <c r="AI3030" s="116"/>
    </row>
    <row r="3031" spans="27:35" ht="18">
      <c r="AA3031" s="116"/>
      <c r="AB3031" s="87"/>
      <c r="AC3031" s="116"/>
      <c r="AD3031" s="116"/>
      <c r="AE3031" s="116"/>
      <c r="AF3031" s="116"/>
      <c r="AG3031" s="116"/>
      <c r="AH3031" s="116"/>
      <c r="AI3031" s="116"/>
    </row>
    <row r="3032" spans="27:35" ht="18">
      <c r="AA3032" s="116"/>
      <c r="AB3032" s="87"/>
      <c r="AC3032" s="116"/>
      <c r="AD3032" s="116"/>
      <c r="AE3032" s="116"/>
      <c r="AF3032" s="116"/>
      <c r="AG3032" s="116"/>
      <c r="AH3032" s="116"/>
      <c r="AI3032" s="116"/>
    </row>
    <row r="3033" spans="27:35" ht="18">
      <c r="AA3033" s="116"/>
      <c r="AB3033" s="87"/>
      <c r="AC3033" s="116"/>
      <c r="AD3033" s="116"/>
      <c r="AE3033" s="116"/>
      <c r="AF3033" s="116"/>
      <c r="AG3033" s="116"/>
      <c r="AH3033" s="116"/>
      <c r="AI3033" s="116"/>
    </row>
    <row r="3034" spans="27:35" ht="18">
      <c r="AA3034" s="116"/>
      <c r="AB3034" s="87"/>
      <c r="AC3034" s="116"/>
      <c r="AD3034" s="116"/>
      <c r="AE3034" s="116"/>
      <c r="AF3034" s="116"/>
      <c r="AG3034" s="116"/>
      <c r="AH3034" s="116"/>
      <c r="AI3034" s="116"/>
    </row>
    <row r="3035" spans="27:35" ht="18">
      <c r="AA3035" s="116"/>
      <c r="AB3035" s="184"/>
      <c r="AC3035" s="116"/>
      <c r="AD3035" s="116"/>
      <c r="AE3035" s="116"/>
      <c r="AF3035" s="116"/>
      <c r="AG3035" s="116"/>
      <c r="AH3035" s="116"/>
      <c r="AI3035" s="116"/>
    </row>
    <row r="3036" spans="27:35" ht="18">
      <c r="AA3036" s="116"/>
      <c r="AB3036" s="184"/>
      <c r="AC3036" s="116"/>
      <c r="AD3036" s="116"/>
      <c r="AE3036" s="116"/>
      <c r="AF3036" s="116"/>
      <c r="AG3036" s="116"/>
      <c r="AH3036" s="116"/>
      <c r="AI3036" s="116"/>
    </row>
    <row r="3037" spans="27:35" ht="18">
      <c r="AA3037" s="116"/>
      <c r="AB3037" s="184"/>
      <c r="AC3037" s="116"/>
      <c r="AD3037" s="116"/>
      <c r="AE3037" s="116"/>
      <c r="AF3037" s="116"/>
      <c r="AG3037" s="116"/>
      <c r="AH3037" s="116"/>
      <c r="AI3037" s="116"/>
    </row>
    <row r="3038" spans="27:35" ht="18">
      <c r="AA3038" s="116"/>
      <c r="AB3038" s="87"/>
      <c r="AC3038" s="116"/>
      <c r="AD3038" s="116"/>
      <c r="AE3038" s="116"/>
      <c r="AF3038" s="116"/>
      <c r="AG3038" s="116"/>
      <c r="AH3038" s="116"/>
      <c r="AI3038" s="116"/>
    </row>
    <row r="3039" spans="27:35" ht="18">
      <c r="AA3039" s="116"/>
      <c r="AB3039" s="87"/>
      <c r="AC3039" s="116"/>
      <c r="AD3039" s="116"/>
      <c r="AE3039" s="116"/>
      <c r="AF3039" s="116"/>
      <c r="AG3039" s="116"/>
      <c r="AH3039" s="116"/>
      <c r="AI3039" s="116"/>
    </row>
    <row r="3040" spans="27:35" ht="18">
      <c r="AA3040" s="116"/>
      <c r="AB3040" s="87"/>
      <c r="AC3040" s="116"/>
      <c r="AD3040" s="116"/>
      <c r="AE3040" s="116"/>
      <c r="AF3040" s="116"/>
      <c r="AG3040" s="116"/>
      <c r="AH3040" s="116"/>
      <c r="AI3040" s="116"/>
    </row>
    <row r="3041" spans="27:35" ht="18">
      <c r="AA3041" s="116"/>
      <c r="AB3041" s="87"/>
      <c r="AC3041" s="116"/>
      <c r="AD3041" s="116"/>
      <c r="AE3041" s="116"/>
      <c r="AF3041" s="116"/>
      <c r="AG3041" s="116"/>
      <c r="AH3041" s="116"/>
      <c r="AI3041" s="116"/>
    </row>
    <row r="3042" spans="27:35" ht="18">
      <c r="AA3042" s="116"/>
      <c r="AB3042" s="184"/>
      <c r="AC3042" s="116"/>
      <c r="AD3042" s="116"/>
      <c r="AE3042" s="116"/>
      <c r="AF3042" s="116"/>
      <c r="AG3042" s="116"/>
      <c r="AH3042" s="116"/>
      <c r="AI3042" s="116"/>
    </row>
    <row r="3043" spans="27:35" ht="18">
      <c r="AA3043" s="116"/>
      <c r="AB3043" s="87"/>
      <c r="AC3043" s="116"/>
      <c r="AD3043" s="116"/>
      <c r="AE3043" s="116"/>
      <c r="AF3043" s="116"/>
      <c r="AG3043" s="116"/>
      <c r="AH3043" s="116"/>
      <c r="AI3043" s="116"/>
    </row>
    <row r="3044" spans="27:35" ht="18">
      <c r="AA3044" s="116"/>
      <c r="AB3044" s="87"/>
      <c r="AC3044" s="116"/>
      <c r="AD3044" s="116"/>
      <c r="AE3044" s="116"/>
      <c r="AF3044" s="116"/>
      <c r="AG3044" s="116"/>
      <c r="AH3044" s="116"/>
      <c r="AI3044" s="116"/>
    </row>
    <row r="3045" spans="27:35" ht="18">
      <c r="AA3045" s="116"/>
      <c r="AB3045" s="87"/>
      <c r="AC3045" s="116"/>
      <c r="AD3045" s="116"/>
      <c r="AE3045" s="116"/>
      <c r="AF3045" s="116"/>
      <c r="AG3045" s="116"/>
      <c r="AH3045" s="116"/>
      <c r="AI3045" s="116"/>
    </row>
    <row r="3046" spans="27:35" ht="18">
      <c r="AA3046" s="116"/>
      <c r="AB3046" s="87"/>
      <c r="AC3046" s="116"/>
      <c r="AD3046" s="116"/>
      <c r="AE3046" s="116"/>
      <c r="AF3046" s="116"/>
      <c r="AG3046" s="116"/>
      <c r="AH3046" s="116"/>
      <c r="AI3046" s="116"/>
    </row>
    <row r="3047" spans="27:35" ht="18">
      <c r="AA3047" s="116"/>
      <c r="AB3047" s="184"/>
      <c r="AC3047" s="116"/>
      <c r="AD3047" s="116"/>
      <c r="AE3047" s="116"/>
      <c r="AF3047" s="116"/>
      <c r="AG3047" s="116"/>
      <c r="AH3047" s="116"/>
      <c r="AI3047" s="116"/>
    </row>
    <row r="3048" spans="27:35" ht="18">
      <c r="AA3048" s="116"/>
      <c r="AB3048" s="87"/>
      <c r="AC3048" s="116"/>
      <c r="AD3048" s="116"/>
      <c r="AE3048" s="116"/>
      <c r="AF3048" s="116"/>
      <c r="AG3048" s="116"/>
      <c r="AH3048" s="116"/>
      <c r="AI3048" s="116"/>
    </row>
    <row r="3049" spans="27:35" ht="18">
      <c r="AA3049" s="116"/>
      <c r="AB3049" s="87"/>
      <c r="AC3049" s="116"/>
      <c r="AD3049" s="116"/>
      <c r="AE3049" s="116"/>
      <c r="AF3049" s="116"/>
      <c r="AG3049" s="116"/>
      <c r="AH3049" s="116"/>
      <c r="AI3049" s="116"/>
    </row>
    <row r="3050" spans="27:35" ht="18">
      <c r="AA3050" s="116"/>
      <c r="AB3050" s="87"/>
      <c r="AC3050" s="116"/>
      <c r="AD3050" s="116"/>
      <c r="AE3050" s="116"/>
      <c r="AF3050" s="116"/>
      <c r="AG3050" s="116"/>
      <c r="AH3050" s="116"/>
      <c r="AI3050" s="116"/>
    </row>
    <row r="3051" spans="27:35" ht="18">
      <c r="AA3051" s="116"/>
      <c r="AB3051" s="87"/>
      <c r="AC3051" s="116"/>
      <c r="AD3051" s="116"/>
      <c r="AE3051" s="116"/>
      <c r="AF3051" s="116"/>
      <c r="AG3051" s="116"/>
      <c r="AH3051" s="116"/>
      <c r="AI3051" s="116"/>
    </row>
    <row r="3052" spans="27:35" ht="18">
      <c r="AA3052" s="116"/>
      <c r="AB3052" s="87"/>
      <c r="AC3052" s="116"/>
      <c r="AD3052" s="116"/>
      <c r="AE3052" s="116"/>
      <c r="AF3052" s="116"/>
      <c r="AG3052" s="116"/>
      <c r="AH3052" s="116"/>
      <c r="AI3052" s="116"/>
    </row>
    <row r="3053" spans="27:35" ht="18">
      <c r="AA3053" s="116"/>
      <c r="AB3053" s="184"/>
      <c r="AC3053" s="116"/>
      <c r="AD3053" s="116"/>
      <c r="AE3053" s="116"/>
      <c r="AF3053" s="116"/>
      <c r="AG3053" s="116"/>
      <c r="AH3053" s="116"/>
      <c r="AI3053" s="116"/>
    </row>
    <row r="3054" spans="27:35" ht="18">
      <c r="AA3054" s="116"/>
      <c r="AB3054" s="87"/>
      <c r="AC3054" s="116"/>
      <c r="AD3054" s="116"/>
      <c r="AE3054" s="116"/>
      <c r="AF3054" s="116"/>
      <c r="AG3054" s="116"/>
      <c r="AH3054" s="116"/>
      <c r="AI3054" s="116"/>
    </row>
    <row r="3055" spans="27:35" ht="18">
      <c r="AA3055" s="116"/>
      <c r="AB3055" s="87"/>
      <c r="AC3055" s="116"/>
      <c r="AD3055" s="116"/>
      <c r="AE3055" s="116"/>
      <c r="AF3055" s="116"/>
      <c r="AG3055" s="116"/>
      <c r="AH3055" s="116"/>
      <c r="AI3055" s="116"/>
    </row>
    <row r="3056" spans="27:35" ht="18">
      <c r="AA3056" s="116"/>
      <c r="AB3056" s="184"/>
      <c r="AC3056" s="116"/>
      <c r="AD3056" s="116"/>
      <c r="AE3056" s="116"/>
      <c r="AF3056" s="116"/>
      <c r="AG3056" s="116"/>
      <c r="AH3056" s="116"/>
      <c r="AI3056" s="116"/>
    </row>
    <row r="3057" spans="27:35" ht="18">
      <c r="AA3057" s="116"/>
      <c r="AB3057" s="87"/>
      <c r="AC3057" s="116"/>
      <c r="AD3057" s="116"/>
      <c r="AE3057" s="116"/>
      <c r="AF3057" s="116"/>
      <c r="AG3057" s="116"/>
      <c r="AH3057" s="116"/>
      <c r="AI3057" s="116"/>
    </row>
    <row r="3058" spans="27:35" ht="18">
      <c r="AA3058" s="116"/>
      <c r="AB3058" s="87"/>
      <c r="AC3058" s="116"/>
      <c r="AD3058" s="116"/>
      <c r="AE3058" s="116"/>
      <c r="AF3058" s="116"/>
      <c r="AG3058" s="116"/>
      <c r="AH3058" s="116"/>
      <c r="AI3058" s="116"/>
    </row>
    <row r="3059" spans="27:35" ht="18">
      <c r="AA3059" s="116"/>
      <c r="AB3059" s="184"/>
      <c r="AC3059" s="116"/>
      <c r="AD3059" s="116"/>
      <c r="AE3059" s="116"/>
      <c r="AF3059" s="116"/>
      <c r="AG3059" s="116"/>
      <c r="AH3059" s="116"/>
      <c r="AI3059" s="116"/>
    </row>
    <row r="3060" spans="27:35" ht="18">
      <c r="AA3060" s="116"/>
      <c r="AB3060" s="87"/>
      <c r="AC3060" s="116"/>
      <c r="AD3060" s="116"/>
      <c r="AE3060" s="116"/>
      <c r="AF3060" s="116"/>
      <c r="AG3060" s="116"/>
      <c r="AH3060" s="116"/>
      <c r="AI3060" s="116"/>
    </row>
    <row r="3061" spans="27:35" ht="18">
      <c r="AA3061" s="116"/>
      <c r="AB3061" s="87"/>
      <c r="AC3061" s="116"/>
      <c r="AD3061" s="116"/>
      <c r="AE3061" s="116"/>
      <c r="AF3061" s="116"/>
      <c r="AG3061" s="116"/>
      <c r="AH3061" s="116"/>
      <c r="AI3061" s="116"/>
    </row>
    <row r="3062" spans="27:35" ht="18">
      <c r="AA3062" s="116"/>
      <c r="AB3062" s="87"/>
      <c r="AC3062" s="116"/>
      <c r="AD3062" s="116"/>
      <c r="AE3062" s="116"/>
      <c r="AF3062" s="116"/>
      <c r="AG3062" s="116"/>
      <c r="AH3062" s="116"/>
      <c r="AI3062" s="116"/>
    </row>
    <row r="3063" spans="27:35" ht="18">
      <c r="AA3063" s="116"/>
      <c r="AB3063" s="184"/>
      <c r="AC3063" s="116"/>
      <c r="AD3063" s="116"/>
      <c r="AE3063" s="116"/>
      <c r="AF3063" s="116"/>
      <c r="AG3063" s="116"/>
      <c r="AH3063" s="116"/>
      <c r="AI3063" s="116"/>
    </row>
    <row r="3064" spans="27:35" ht="18">
      <c r="AA3064" s="116"/>
      <c r="AB3064" s="184"/>
      <c r="AC3064" s="116"/>
      <c r="AD3064" s="116"/>
      <c r="AE3064" s="116"/>
      <c r="AF3064" s="116"/>
      <c r="AG3064" s="116"/>
      <c r="AH3064" s="116"/>
      <c r="AI3064" s="116"/>
    </row>
    <row r="3065" spans="27:35" ht="18">
      <c r="AA3065" s="116"/>
      <c r="AB3065" s="87"/>
      <c r="AC3065" s="116"/>
      <c r="AD3065" s="116"/>
      <c r="AE3065" s="116"/>
      <c r="AF3065" s="116"/>
      <c r="AG3065" s="116"/>
      <c r="AH3065" s="116"/>
      <c r="AI3065" s="116"/>
    </row>
    <row r="3066" spans="27:35" ht="18">
      <c r="AA3066" s="116"/>
      <c r="AB3066" s="87"/>
      <c r="AC3066" s="116"/>
      <c r="AD3066" s="116"/>
      <c r="AE3066" s="116"/>
      <c r="AF3066" s="116"/>
      <c r="AG3066" s="116"/>
      <c r="AH3066" s="116"/>
      <c r="AI3066" s="116"/>
    </row>
    <row r="3067" spans="27:35" ht="18">
      <c r="AA3067" s="116"/>
      <c r="AB3067" s="87"/>
      <c r="AC3067" s="116"/>
      <c r="AD3067" s="116"/>
      <c r="AE3067" s="116"/>
      <c r="AF3067" s="116"/>
      <c r="AG3067" s="116"/>
      <c r="AH3067" s="116"/>
      <c r="AI3067" s="116"/>
    </row>
    <row r="3068" spans="27:35" ht="18">
      <c r="AA3068" s="116"/>
      <c r="AB3068" s="87"/>
      <c r="AC3068" s="116"/>
      <c r="AD3068" s="116"/>
      <c r="AE3068" s="116"/>
      <c r="AF3068" s="116"/>
      <c r="AG3068" s="116"/>
      <c r="AH3068" s="116"/>
      <c r="AI3068" s="116"/>
    </row>
    <row r="3069" spans="27:35" ht="18">
      <c r="AA3069" s="116"/>
      <c r="AB3069" s="184"/>
      <c r="AC3069" s="116"/>
      <c r="AD3069" s="116"/>
      <c r="AE3069" s="116"/>
      <c r="AF3069" s="116"/>
      <c r="AG3069" s="116"/>
      <c r="AH3069" s="116"/>
      <c r="AI3069" s="116"/>
    </row>
    <row r="3070" spans="27:35" ht="18">
      <c r="AA3070" s="116"/>
      <c r="AB3070" s="184"/>
      <c r="AC3070" s="116"/>
      <c r="AD3070" s="116"/>
      <c r="AE3070" s="116"/>
      <c r="AF3070" s="116"/>
      <c r="AG3070" s="116"/>
      <c r="AH3070" s="116"/>
      <c r="AI3070" s="116"/>
    </row>
    <row r="3071" spans="27:35" ht="18">
      <c r="AA3071" s="116"/>
      <c r="AB3071" s="87"/>
      <c r="AC3071" s="116"/>
      <c r="AD3071" s="116"/>
      <c r="AE3071" s="116"/>
      <c r="AF3071" s="116"/>
      <c r="AG3071" s="116"/>
      <c r="AH3071" s="116"/>
      <c r="AI3071" s="116"/>
    </row>
    <row r="3072" spans="27:35" ht="18">
      <c r="AA3072" s="116"/>
      <c r="AB3072" s="87"/>
      <c r="AC3072" s="116"/>
      <c r="AD3072" s="116"/>
      <c r="AE3072" s="116"/>
      <c r="AF3072" s="116"/>
      <c r="AG3072" s="116"/>
      <c r="AH3072" s="116"/>
      <c r="AI3072" s="116"/>
    </row>
    <row r="3073" spans="27:35" ht="18">
      <c r="AA3073" s="116"/>
      <c r="AB3073" s="87"/>
      <c r="AC3073" s="116"/>
      <c r="AD3073" s="116"/>
      <c r="AE3073" s="116"/>
      <c r="AF3073" s="116"/>
      <c r="AG3073" s="116"/>
      <c r="AH3073" s="116"/>
      <c r="AI3073" s="116"/>
    </row>
    <row r="3074" spans="27:35" ht="18">
      <c r="AA3074" s="116"/>
      <c r="AB3074" s="87"/>
      <c r="AC3074" s="116"/>
      <c r="AD3074" s="116"/>
      <c r="AE3074" s="116"/>
      <c r="AF3074" s="116"/>
      <c r="AG3074" s="116"/>
      <c r="AH3074" s="116"/>
      <c r="AI3074" s="116"/>
    </row>
    <row r="3075" spans="27:35" ht="18">
      <c r="AA3075" s="116"/>
      <c r="AB3075" s="87"/>
      <c r="AC3075" s="116"/>
      <c r="AD3075" s="116"/>
      <c r="AE3075" s="116"/>
      <c r="AF3075" s="116"/>
      <c r="AG3075" s="116"/>
      <c r="AH3075" s="116"/>
      <c r="AI3075" s="116"/>
    </row>
    <row r="3076" spans="27:35" ht="18">
      <c r="AA3076" s="116"/>
      <c r="AB3076" s="87"/>
      <c r="AC3076" s="116"/>
      <c r="AD3076" s="116"/>
      <c r="AE3076" s="116"/>
      <c r="AF3076" s="116"/>
      <c r="AG3076" s="116"/>
      <c r="AH3076" s="116"/>
      <c r="AI3076" s="116"/>
    </row>
    <row r="3077" spans="27:35" ht="18">
      <c r="AA3077" s="116"/>
      <c r="AB3077" s="87"/>
      <c r="AC3077" s="116"/>
      <c r="AD3077" s="116"/>
      <c r="AE3077" s="116"/>
      <c r="AF3077" s="116"/>
      <c r="AG3077" s="116"/>
      <c r="AH3077" s="116"/>
      <c r="AI3077" s="116"/>
    </row>
    <row r="3078" spans="27:35" ht="18">
      <c r="AA3078" s="116"/>
      <c r="AB3078" s="184"/>
      <c r="AC3078" s="116"/>
      <c r="AD3078" s="116"/>
      <c r="AE3078" s="116"/>
      <c r="AF3078" s="116"/>
      <c r="AG3078" s="116"/>
      <c r="AH3078" s="116"/>
      <c r="AI3078" s="116"/>
    </row>
    <row r="3079" spans="27:35" ht="18">
      <c r="AA3079" s="116"/>
      <c r="AB3079" s="87"/>
      <c r="AC3079" s="116"/>
      <c r="AD3079" s="116"/>
      <c r="AE3079" s="116"/>
      <c r="AF3079" s="116"/>
      <c r="AG3079" s="116"/>
      <c r="AH3079" s="116"/>
      <c r="AI3079" s="116"/>
    </row>
    <row r="3080" spans="27:35" ht="18">
      <c r="AA3080" s="116"/>
      <c r="AB3080" s="87"/>
      <c r="AC3080" s="116"/>
      <c r="AD3080" s="116"/>
      <c r="AE3080" s="116"/>
      <c r="AF3080" s="116"/>
      <c r="AG3080" s="116"/>
      <c r="AH3080" s="116"/>
      <c r="AI3080" s="116"/>
    </row>
    <row r="3081" spans="27:35" ht="18">
      <c r="AA3081" s="116"/>
      <c r="AB3081" s="87"/>
      <c r="AC3081" s="116"/>
      <c r="AD3081" s="116"/>
      <c r="AE3081" s="116"/>
      <c r="AF3081" s="116"/>
      <c r="AG3081" s="116"/>
      <c r="AH3081" s="116"/>
      <c r="AI3081" s="116"/>
    </row>
    <row r="3082" spans="27:35" ht="18">
      <c r="AA3082" s="116"/>
      <c r="AB3082" s="87"/>
      <c r="AC3082" s="116"/>
      <c r="AD3082" s="116"/>
      <c r="AE3082" s="116"/>
      <c r="AF3082" s="116"/>
      <c r="AG3082" s="116"/>
      <c r="AH3082" s="116"/>
      <c r="AI3082" s="116"/>
    </row>
    <row r="3083" spans="27:35" ht="18">
      <c r="AA3083" s="116"/>
      <c r="AB3083" s="87"/>
      <c r="AC3083" s="116"/>
      <c r="AD3083" s="116"/>
      <c r="AE3083" s="116"/>
      <c r="AF3083" s="116"/>
      <c r="AG3083" s="116"/>
      <c r="AH3083" s="116"/>
      <c r="AI3083" s="116"/>
    </row>
    <row r="3084" spans="27:35" ht="18">
      <c r="AA3084" s="116"/>
      <c r="AB3084" s="87"/>
      <c r="AC3084" s="116"/>
      <c r="AD3084" s="116"/>
      <c r="AE3084" s="116"/>
      <c r="AF3084" s="116"/>
      <c r="AG3084" s="116"/>
      <c r="AH3084" s="116"/>
      <c r="AI3084" s="116"/>
    </row>
    <row r="3085" spans="27:35" ht="18">
      <c r="AA3085" s="116"/>
      <c r="AB3085" s="87"/>
      <c r="AC3085" s="116"/>
      <c r="AD3085" s="116"/>
      <c r="AE3085" s="116"/>
      <c r="AF3085" s="116"/>
      <c r="AG3085" s="116"/>
      <c r="AH3085" s="116"/>
      <c r="AI3085" s="116"/>
    </row>
    <row r="3086" spans="27:35" ht="18">
      <c r="AA3086" s="116"/>
      <c r="AB3086" s="87"/>
      <c r="AC3086" s="116"/>
      <c r="AD3086" s="116"/>
      <c r="AE3086" s="116"/>
      <c r="AF3086" s="116"/>
      <c r="AG3086" s="116"/>
      <c r="AH3086" s="116"/>
      <c r="AI3086" s="116"/>
    </row>
    <row r="3087" spans="27:35" ht="18">
      <c r="AA3087" s="116"/>
      <c r="AB3087" s="87"/>
      <c r="AC3087" s="116"/>
      <c r="AD3087" s="116"/>
      <c r="AE3087" s="116"/>
      <c r="AF3087" s="116"/>
      <c r="AG3087" s="116"/>
      <c r="AH3087" s="116"/>
      <c r="AI3087" s="116"/>
    </row>
    <row r="3088" spans="27:35" ht="18">
      <c r="AA3088" s="116"/>
      <c r="AB3088" s="87"/>
      <c r="AC3088" s="116"/>
      <c r="AD3088" s="116"/>
      <c r="AE3088" s="116"/>
      <c r="AF3088" s="116"/>
      <c r="AG3088" s="116"/>
      <c r="AH3088" s="116"/>
      <c r="AI3088" s="116"/>
    </row>
    <row r="3089" spans="27:35" ht="18">
      <c r="AA3089" s="116"/>
      <c r="AB3089" s="87"/>
      <c r="AC3089" s="116"/>
      <c r="AD3089" s="116"/>
      <c r="AE3089" s="116"/>
      <c r="AF3089" s="116"/>
      <c r="AG3089" s="116"/>
      <c r="AH3089" s="116"/>
      <c r="AI3089" s="116"/>
    </row>
    <row r="3090" spans="27:35" ht="18">
      <c r="AA3090" s="116"/>
      <c r="AB3090" s="87"/>
      <c r="AC3090" s="116"/>
      <c r="AD3090" s="116"/>
      <c r="AE3090" s="116"/>
      <c r="AF3090" s="116"/>
      <c r="AG3090" s="116"/>
      <c r="AH3090" s="116"/>
      <c r="AI3090" s="116"/>
    </row>
    <row r="3091" spans="27:35" ht="18">
      <c r="AA3091" s="116"/>
      <c r="AB3091" s="87"/>
      <c r="AC3091" s="116"/>
      <c r="AD3091" s="116"/>
      <c r="AE3091" s="116"/>
      <c r="AF3091" s="116"/>
      <c r="AG3091" s="116"/>
      <c r="AH3091" s="116"/>
      <c r="AI3091" s="116"/>
    </row>
    <row r="3092" spans="27:35" ht="18">
      <c r="AA3092" s="116"/>
      <c r="AB3092" s="87"/>
      <c r="AC3092" s="116"/>
      <c r="AD3092" s="116"/>
      <c r="AE3092" s="116"/>
      <c r="AF3092" s="116"/>
      <c r="AG3092" s="116"/>
      <c r="AH3092" s="116"/>
      <c r="AI3092" s="116"/>
    </row>
    <row r="3093" spans="27:35" ht="18">
      <c r="AA3093" s="116"/>
      <c r="AB3093" s="87"/>
      <c r="AC3093" s="116"/>
      <c r="AD3093" s="116"/>
      <c r="AE3093" s="116"/>
      <c r="AF3093" s="116"/>
      <c r="AG3093" s="116"/>
      <c r="AH3093" s="116"/>
      <c r="AI3093" s="116"/>
    </row>
    <row r="3094" spans="27:35" ht="18">
      <c r="AA3094" s="116"/>
      <c r="AB3094" s="87"/>
      <c r="AC3094" s="116"/>
      <c r="AD3094" s="116"/>
      <c r="AE3094" s="116"/>
      <c r="AF3094" s="116"/>
      <c r="AG3094" s="116"/>
      <c r="AH3094" s="116"/>
      <c r="AI3094" s="116"/>
    </row>
    <row r="3095" spans="27:35" ht="18">
      <c r="AA3095" s="116"/>
      <c r="AB3095" s="87"/>
      <c r="AC3095" s="116"/>
      <c r="AD3095" s="116"/>
      <c r="AE3095" s="116"/>
      <c r="AF3095" s="116"/>
      <c r="AG3095" s="116"/>
      <c r="AH3095" s="116"/>
      <c r="AI3095" s="116"/>
    </row>
    <row r="3096" spans="27:35" ht="18">
      <c r="AA3096" s="116"/>
      <c r="AB3096" s="87"/>
      <c r="AC3096" s="116"/>
      <c r="AD3096" s="116"/>
      <c r="AE3096" s="116"/>
      <c r="AF3096" s="116"/>
      <c r="AG3096" s="116"/>
      <c r="AH3096" s="116"/>
      <c r="AI3096" s="116"/>
    </row>
    <row r="3097" spans="27:35" ht="18">
      <c r="AA3097" s="116"/>
      <c r="AB3097" s="87"/>
      <c r="AC3097" s="116"/>
      <c r="AD3097" s="116"/>
      <c r="AE3097" s="116"/>
      <c r="AF3097" s="116"/>
      <c r="AG3097" s="116"/>
      <c r="AH3097" s="116"/>
      <c r="AI3097" s="116"/>
    </row>
    <row r="3098" spans="27:35" ht="18">
      <c r="AA3098" s="116"/>
      <c r="AB3098" s="87"/>
      <c r="AC3098" s="116"/>
      <c r="AD3098" s="116"/>
      <c r="AE3098" s="116"/>
      <c r="AF3098" s="116"/>
      <c r="AG3098" s="116"/>
      <c r="AH3098" s="116"/>
      <c r="AI3098" s="116"/>
    </row>
    <row r="3099" spans="27:35" ht="18">
      <c r="AA3099" s="116"/>
      <c r="AB3099" s="87"/>
      <c r="AC3099" s="116"/>
      <c r="AD3099" s="116"/>
      <c r="AE3099" s="116"/>
      <c r="AF3099" s="116"/>
      <c r="AG3099" s="116"/>
      <c r="AH3099" s="116"/>
      <c r="AI3099" s="116"/>
    </row>
    <row r="3100" spans="27:35" ht="18">
      <c r="AA3100" s="116"/>
      <c r="AB3100" s="87"/>
      <c r="AC3100" s="116"/>
      <c r="AD3100" s="116"/>
      <c r="AE3100" s="116"/>
      <c r="AF3100" s="116"/>
      <c r="AG3100" s="116"/>
      <c r="AH3100" s="116"/>
      <c r="AI3100" s="116"/>
    </row>
    <row r="3101" spans="27:35" ht="18">
      <c r="AA3101" s="116"/>
      <c r="AB3101" s="87"/>
      <c r="AC3101" s="116"/>
      <c r="AD3101" s="116"/>
      <c r="AE3101" s="116"/>
      <c r="AF3101" s="116"/>
      <c r="AG3101" s="116"/>
      <c r="AH3101" s="116"/>
      <c r="AI3101" s="116"/>
    </row>
    <row r="3102" spans="27:35" ht="18">
      <c r="AA3102" s="116"/>
      <c r="AB3102" s="87"/>
      <c r="AC3102" s="116"/>
      <c r="AD3102" s="116"/>
      <c r="AE3102" s="116"/>
      <c r="AF3102" s="116"/>
      <c r="AG3102" s="116"/>
      <c r="AH3102" s="116"/>
      <c r="AI3102" s="116"/>
    </row>
    <row r="3103" spans="27:35" ht="18">
      <c r="AA3103" s="116"/>
      <c r="AB3103" s="87"/>
      <c r="AC3103" s="116"/>
      <c r="AD3103" s="116"/>
      <c r="AE3103" s="116"/>
      <c r="AF3103" s="116"/>
      <c r="AG3103" s="116"/>
      <c r="AH3103" s="116"/>
      <c r="AI3103" s="116"/>
    </row>
    <row r="3104" spans="27:35" ht="18">
      <c r="AA3104" s="116"/>
      <c r="AB3104" s="87"/>
      <c r="AC3104" s="116"/>
      <c r="AD3104" s="116"/>
      <c r="AE3104" s="116"/>
      <c r="AF3104" s="116"/>
      <c r="AG3104" s="116"/>
      <c r="AH3104" s="116"/>
      <c r="AI3104" s="116"/>
    </row>
    <row r="3105" spans="27:35" ht="18">
      <c r="AA3105" s="116"/>
      <c r="AB3105" s="87"/>
      <c r="AC3105" s="116"/>
      <c r="AD3105" s="116"/>
      <c r="AE3105" s="116"/>
      <c r="AF3105" s="116"/>
      <c r="AG3105" s="116"/>
      <c r="AH3105" s="116"/>
      <c r="AI3105" s="116"/>
    </row>
    <row r="3106" spans="27:35" ht="18">
      <c r="AA3106" s="116"/>
      <c r="AB3106" s="87"/>
      <c r="AC3106" s="116"/>
      <c r="AD3106" s="116"/>
      <c r="AE3106" s="116"/>
      <c r="AF3106" s="116"/>
      <c r="AG3106" s="116"/>
      <c r="AH3106" s="116"/>
      <c r="AI3106" s="116"/>
    </row>
    <row r="3107" spans="27:35" ht="18">
      <c r="AA3107" s="116"/>
      <c r="AB3107" s="87"/>
      <c r="AC3107" s="116"/>
      <c r="AD3107" s="116"/>
      <c r="AE3107" s="116"/>
      <c r="AF3107" s="116"/>
      <c r="AG3107" s="116"/>
      <c r="AH3107" s="116"/>
      <c r="AI3107" s="116"/>
    </row>
    <row r="3108" spans="27:35" ht="18">
      <c r="AA3108" s="116"/>
      <c r="AB3108" s="87"/>
      <c r="AC3108" s="116"/>
      <c r="AD3108" s="116"/>
      <c r="AE3108" s="116"/>
      <c r="AF3108" s="116"/>
      <c r="AG3108" s="116"/>
      <c r="AH3108" s="116"/>
      <c r="AI3108" s="116"/>
    </row>
    <row r="3109" spans="27:35" ht="18">
      <c r="AA3109" s="116"/>
      <c r="AB3109" s="87"/>
      <c r="AC3109" s="116"/>
      <c r="AD3109" s="116"/>
      <c r="AE3109" s="116"/>
      <c r="AF3109" s="116"/>
      <c r="AG3109" s="116"/>
      <c r="AH3109" s="116"/>
      <c r="AI3109" s="116"/>
    </row>
    <row r="3110" spans="27:35" ht="18">
      <c r="AA3110" s="116"/>
      <c r="AB3110" s="87"/>
      <c r="AC3110" s="116"/>
      <c r="AD3110" s="116"/>
      <c r="AE3110" s="116"/>
      <c r="AF3110" s="116"/>
      <c r="AG3110" s="116"/>
      <c r="AH3110" s="116"/>
      <c r="AI3110" s="116"/>
    </row>
    <row r="3111" spans="27:35" ht="18">
      <c r="AA3111" s="116"/>
      <c r="AB3111" s="87"/>
      <c r="AC3111" s="116"/>
      <c r="AD3111" s="116"/>
      <c r="AE3111" s="116"/>
      <c r="AF3111" s="116"/>
      <c r="AG3111" s="116"/>
      <c r="AH3111" s="116"/>
      <c r="AI3111" s="116"/>
    </row>
    <row r="3112" spans="27:35" ht="18">
      <c r="AA3112" s="116"/>
      <c r="AB3112" s="184"/>
      <c r="AC3112" s="116"/>
      <c r="AD3112" s="116"/>
      <c r="AE3112" s="116"/>
      <c r="AF3112" s="116"/>
      <c r="AG3112" s="116"/>
      <c r="AH3112" s="116"/>
      <c r="AI3112" s="116"/>
    </row>
    <row r="3113" spans="27:35" ht="18">
      <c r="AA3113" s="116"/>
      <c r="AB3113" s="87"/>
      <c r="AC3113" s="116"/>
      <c r="AD3113" s="116"/>
      <c r="AE3113" s="116"/>
      <c r="AF3113" s="116"/>
      <c r="AG3113" s="116"/>
      <c r="AH3113" s="116"/>
      <c r="AI3113" s="116"/>
    </row>
    <row r="3114" spans="27:35" ht="18">
      <c r="AA3114" s="116"/>
      <c r="AB3114" s="87"/>
      <c r="AC3114" s="116"/>
      <c r="AD3114" s="116"/>
      <c r="AE3114" s="116"/>
      <c r="AF3114" s="116"/>
      <c r="AG3114" s="116"/>
      <c r="AH3114" s="116"/>
      <c r="AI3114" s="116"/>
    </row>
    <row r="3115" spans="27:35" ht="18">
      <c r="AA3115" s="116"/>
      <c r="AB3115" s="87"/>
      <c r="AC3115" s="116"/>
      <c r="AD3115" s="116"/>
      <c r="AE3115" s="116"/>
      <c r="AF3115" s="116"/>
      <c r="AG3115" s="116"/>
      <c r="AH3115" s="116"/>
      <c r="AI3115" s="116"/>
    </row>
    <row r="3116" spans="27:35" ht="18">
      <c r="AA3116" s="116"/>
      <c r="AB3116" s="87"/>
      <c r="AC3116" s="116"/>
      <c r="AD3116" s="116"/>
      <c r="AE3116" s="116"/>
      <c r="AF3116" s="116"/>
      <c r="AG3116" s="116"/>
      <c r="AH3116" s="116"/>
      <c r="AI3116" s="116"/>
    </row>
    <row r="3117" spans="27:35" ht="18">
      <c r="AA3117" s="116"/>
      <c r="AB3117" s="87"/>
      <c r="AC3117" s="116"/>
      <c r="AD3117" s="116"/>
      <c r="AE3117" s="116"/>
      <c r="AF3117" s="116"/>
      <c r="AG3117" s="116"/>
      <c r="AH3117" s="116"/>
      <c r="AI3117" s="116"/>
    </row>
    <row r="3118" spans="27:35" ht="18">
      <c r="AA3118" s="116"/>
      <c r="AB3118" s="87"/>
      <c r="AC3118" s="116"/>
      <c r="AD3118" s="116"/>
      <c r="AE3118" s="116"/>
      <c r="AF3118" s="116"/>
      <c r="AG3118" s="116"/>
      <c r="AH3118" s="116"/>
      <c r="AI3118" s="116"/>
    </row>
    <row r="3119" spans="27:35" ht="18">
      <c r="AA3119" s="116"/>
      <c r="AB3119" s="87"/>
      <c r="AC3119" s="116"/>
      <c r="AD3119" s="116"/>
      <c r="AE3119" s="116"/>
      <c r="AF3119" s="116"/>
      <c r="AG3119" s="116"/>
      <c r="AH3119" s="116"/>
      <c r="AI3119" s="116"/>
    </row>
    <row r="3120" spans="27:35" ht="18">
      <c r="AA3120" s="116"/>
      <c r="AB3120" s="87"/>
      <c r="AC3120" s="116"/>
      <c r="AD3120" s="116"/>
      <c r="AE3120" s="116"/>
      <c r="AF3120" s="116"/>
      <c r="AG3120" s="116"/>
      <c r="AH3120" s="116"/>
      <c r="AI3120" s="116"/>
    </row>
    <row r="3121" spans="27:35" ht="18">
      <c r="AA3121" s="116"/>
      <c r="AB3121" s="87"/>
      <c r="AC3121" s="116"/>
      <c r="AD3121" s="116"/>
      <c r="AE3121" s="116"/>
      <c r="AF3121" s="116"/>
      <c r="AG3121" s="116"/>
      <c r="AH3121" s="116"/>
      <c r="AI3121" s="116"/>
    </row>
    <row r="3122" spans="27:35" ht="18">
      <c r="AA3122" s="116"/>
      <c r="AB3122" s="87"/>
      <c r="AC3122" s="116"/>
      <c r="AD3122" s="116"/>
      <c r="AE3122" s="116"/>
      <c r="AF3122" s="116"/>
      <c r="AG3122" s="116"/>
      <c r="AH3122" s="116"/>
      <c r="AI3122" s="116"/>
    </row>
    <row r="3123" spans="27:35" ht="18">
      <c r="AA3123" s="116"/>
      <c r="AB3123" s="87"/>
      <c r="AC3123" s="116"/>
      <c r="AD3123" s="116"/>
      <c r="AE3123" s="116"/>
      <c r="AF3123" s="116"/>
      <c r="AG3123" s="116"/>
      <c r="AH3123" s="116"/>
      <c r="AI3123" s="116"/>
    </row>
    <row r="3124" spans="27:35" ht="18">
      <c r="AA3124" s="116"/>
      <c r="AB3124" s="87"/>
      <c r="AC3124" s="116"/>
      <c r="AD3124" s="116"/>
      <c r="AE3124" s="116"/>
      <c r="AF3124" s="116"/>
      <c r="AG3124" s="116"/>
      <c r="AH3124" s="116"/>
      <c r="AI3124" s="116"/>
    </row>
    <row r="3125" spans="27:35" ht="18">
      <c r="AA3125" s="116"/>
      <c r="AB3125" s="87"/>
      <c r="AC3125" s="116"/>
      <c r="AD3125" s="116"/>
      <c r="AE3125" s="116"/>
      <c r="AF3125" s="116"/>
      <c r="AG3125" s="116"/>
      <c r="AH3125" s="116"/>
      <c r="AI3125" s="116"/>
    </row>
    <row r="3126" spans="27:35" ht="18">
      <c r="AA3126" s="116"/>
      <c r="AB3126" s="87"/>
      <c r="AC3126" s="116"/>
      <c r="AD3126" s="116"/>
      <c r="AE3126" s="116"/>
      <c r="AF3126" s="116"/>
      <c r="AG3126" s="116"/>
      <c r="AH3126" s="116"/>
      <c r="AI3126" s="116"/>
    </row>
    <row r="3127" spans="27:35" ht="18">
      <c r="AA3127" s="116"/>
      <c r="AB3127" s="87"/>
      <c r="AC3127" s="116"/>
      <c r="AD3127" s="116"/>
      <c r="AE3127" s="116"/>
      <c r="AF3127" s="116"/>
      <c r="AG3127" s="116"/>
      <c r="AH3127" s="116"/>
      <c r="AI3127" s="116"/>
    </row>
    <row r="3128" spans="27:35" ht="18">
      <c r="AA3128" s="116"/>
      <c r="AB3128" s="87"/>
      <c r="AC3128" s="116"/>
      <c r="AD3128" s="116"/>
      <c r="AE3128" s="116"/>
      <c r="AF3128" s="116"/>
      <c r="AG3128" s="116"/>
      <c r="AH3128" s="116"/>
      <c r="AI3128" s="116"/>
    </row>
    <row r="3129" spans="27:35" ht="18">
      <c r="AA3129" s="116"/>
      <c r="AB3129" s="87"/>
      <c r="AC3129" s="116"/>
      <c r="AD3129" s="116"/>
      <c r="AE3129" s="116"/>
      <c r="AF3129" s="116"/>
      <c r="AG3129" s="116"/>
      <c r="AH3129" s="116"/>
      <c r="AI3129" s="116"/>
    </row>
    <row r="3130" spans="27:35" ht="18">
      <c r="AA3130" s="116"/>
      <c r="AB3130" s="87"/>
      <c r="AC3130" s="116"/>
      <c r="AD3130" s="116"/>
      <c r="AE3130" s="116"/>
      <c r="AF3130" s="116"/>
      <c r="AG3130" s="116"/>
      <c r="AH3130" s="116"/>
      <c r="AI3130" s="116"/>
    </row>
    <row r="3131" spans="27:35" ht="18">
      <c r="AA3131" s="116"/>
      <c r="AB3131" s="87"/>
      <c r="AC3131" s="116"/>
      <c r="AD3131" s="116"/>
      <c r="AE3131" s="116"/>
      <c r="AF3131" s="116"/>
      <c r="AG3131" s="116"/>
      <c r="AH3131" s="116"/>
      <c r="AI3131" s="116"/>
    </row>
    <row r="3132" spans="27:35" ht="18">
      <c r="AA3132" s="116"/>
      <c r="AB3132" s="87"/>
      <c r="AC3132" s="116"/>
      <c r="AD3132" s="116"/>
      <c r="AE3132" s="116"/>
      <c r="AF3132" s="116"/>
      <c r="AG3132" s="116"/>
      <c r="AH3132" s="116"/>
      <c r="AI3132" s="116"/>
    </row>
    <row r="3133" spans="27:35" ht="18">
      <c r="AA3133" s="116"/>
      <c r="AB3133" s="87"/>
      <c r="AC3133" s="116"/>
      <c r="AD3133" s="116"/>
      <c r="AE3133" s="116"/>
      <c r="AF3133" s="116"/>
      <c r="AG3133" s="116"/>
      <c r="AH3133" s="116"/>
      <c r="AI3133" s="116"/>
    </row>
    <row r="3134" spans="27:35" ht="18">
      <c r="AA3134" s="116"/>
      <c r="AB3134" s="87"/>
      <c r="AC3134" s="116"/>
      <c r="AD3134" s="116"/>
      <c r="AE3134" s="116"/>
      <c r="AF3134" s="116"/>
      <c r="AG3134" s="116"/>
      <c r="AH3134" s="116"/>
      <c r="AI3134" s="116"/>
    </row>
    <row r="3135" spans="27:35" ht="18">
      <c r="AA3135" s="116"/>
      <c r="AB3135" s="87"/>
      <c r="AC3135" s="116"/>
      <c r="AD3135" s="116"/>
      <c r="AE3135" s="116"/>
      <c r="AF3135" s="116"/>
      <c r="AG3135" s="116"/>
      <c r="AH3135" s="116"/>
      <c r="AI3135" s="116"/>
    </row>
    <row r="3136" spans="27:35" ht="18">
      <c r="AA3136" s="116"/>
      <c r="AB3136" s="87"/>
      <c r="AC3136" s="116"/>
      <c r="AD3136" s="116"/>
      <c r="AE3136" s="116"/>
      <c r="AF3136" s="116"/>
      <c r="AG3136" s="116"/>
      <c r="AH3136" s="116"/>
      <c r="AI3136" s="116"/>
    </row>
    <row r="3137" spans="27:35" ht="18">
      <c r="AA3137" s="116"/>
      <c r="AB3137" s="87"/>
      <c r="AC3137" s="116"/>
      <c r="AD3137" s="116"/>
      <c r="AE3137" s="116"/>
      <c r="AF3137" s="116"/>
      <c r="AG3137" s="116"/>
      <c r="AH3137" s="116"/>
      <c r="AI3137" s="116"/>
    </row>
    <row r="3138" spans="27:35" ht="18">
      <c r="AA3138" s="116"/>
      <c r="AB3138" s="87"/>
      <c r="AC3138" s="116"/>
      <c r="AD3138" s="116"/>
      <c r="AE3138" s="116"/>
      <c r="AF3138" s="116"/>
      <c r="AG3138" s="116"/>
      <c r="AH3138" s="116"/>
      <c r="AI3138" s="116"/>
    </row>
    <row r="3139" spans="27:35" ht="18">
      <c r="AA3139" s="116"/>
      <c r="AB3139" s="87"/>
      <c r="AC3139" s="116"/>
      <c r="AD3139" s="116"/>
      <c r="AE3139" s="116"/>
      <c r="AF3139" s="116"/>
      <c r="AG3139" s="116"/>
      <c r="AH3139" s="116"/>
      <c r="AI3139" s="116"/>
    </row>
    <row r="3140" spans="27:35" ht="18">
      <c r="AA3140" s="116"/>
      <c r="AB3140" s="87"/>
      <c r="AC3140" s="116"/>
      <c r="AD3140" s="116"/>
      <c r="AE3140" s="116"/>
      <c r="AF3140" s="116"/>
      <c r="AG3140" s="116"/>
      <c r="AH3140" s="116"/>
      <c r="AI3140" s="116"/>
    </row>
    <row r="3141" spans="27:35" ht="18">
      <c r="AA3141" s="116"/>
      <c r="AB3141" s="87"/>
      <c r="AC3141" s="116"/>
      <c r="AD3141" s="116"/>
      <c r="AE3141" s="116"/>
      <c r="AF3141" s="116"/>
      <c r="AG3141" s="116"/>
      <c r="AH3141" s="116"/>
      <c r="AI3141" s="116"/>
    </row>
    <row r="3142" spans="27:35" ht="18">
      <c r="AA3142" s="116"/>
      <c r="AB3142" s="87"/>
      <c r="AC3142" s="116"/>
      <c r="AD3142" s="116"/>
      <c r="AE3142" s="116"/>
      <c r="AF3142" s="116"/>
      <c r="AG3142" s="116"/>
      <c r="AH3142" s="116"/>
      <c r="AI3142" s="116"/>
    </row>
    <row r="3143" spans="27:35" ht="18">
      <c r="AA3143" s="116"/>
      <c r="AB3143" s="87"/>
      <c r="AC3143" s="116"/>
      <c r="AD3143" s="116"/>
      <c r="AE3143" s="116"/>
      <c r="AF3143" s="116"/>
      <c r="AG3143" s="116"/>
      <c r="AH3143" s="116"/>
      <c r="AI3143" s="116"/>
    </row>
    <row r="3144" spans="27:35" ht="18">
      <c r="AA3144" s="116"/>
      <c r="AB3144" s="87"/>
      <c r="AC3144" s="116"/>
      <c r="AD3144" s="116"/>
      <c r="AE3144" s="116"/>
      <c r="AF3144" s="116"/>
      <c r="AG3144" s="116"/>
      <c r="AH3144" s="116"/>
      <c r="AI3144" s="116"/>
    </row>
    <row r="3145" spans="27:35" ht="18">
      <c r="AA3145" s="116"/>
      <c r="AB3145" s="87"/>
      <c r="AC3145" s="116"/>
      <c r="AD3145" s="116"/>
      <c r="AE3145" s="116"/>
      <c r="AF3145" s="116"/>
      <c r="AG3145" s="116"/>
      <c r="AH3145" s="116"/>
      <c r="AI3145" s="116"/>
    </row>
    <row r="3146" spans="27:35" ht="18">
      <c r="AA3146" s="116"/>
      <c r="AB3146" s="87"/>
      <c r="AC3146" s="116"/>
      <c r="AD3146" s="116"/>
      <c r="AE3146" s="116"/>
      <c r="AF3146" s="116"/>
      <c r="AG3146" s="116"/>
      <c r="AH3146" s="116"/>
      <c r="AI3146" s="116"/>
    </row>
    <row r="3147" spans="27:35" ht="18">
      <c r="AA3147" s="116"/>
      <c r="AB3147" s="87"/>
      <c r="AC3147" s="116"/>
      <c r="AD3147" s="116"/>
      <c r="AE3147" s="116"/>
      <c r="AF3147" s="116"/>
      <c r="AG3147" s="116"/>
      <c r="AH3147" s="116"/>
      <c r="AI3147" s="116"/>
    </row>
    <row r="3148" spans="27:35" ht="18">
      <c r="AA3148" s="116"/>
      <c r="AB3148" s="87"/>
      <c r="AC3148" s="116"/>
      <c r="AD3148" s="116"/>
      <c r="AE3148" s="116"/>
      <c r="AF3148" s="116"/>
      <c r="AG3148" s="116"/>
      <c r="AH3148" s="116"/>
      <c r="AI3148" s="116"/>
    </row>
    <row r="3149" spans="27:35" ht="18">
      <c r="AA3149" s="116"/>
      <c r="AB3149" s="87"/>
      <c r="AC3149" s="116"/>
      <c r="AD3149" s="116"/>
      <c r="AE3149" s="116"/>
      <c r="AF3149" s="116"/>
      <c r="AG3149" s="116"/>
      <c r="AH3149" s="116"/>
      <c r="AI3149" s="116"/>
    </row>
    <row r="3150" spans="27:35" ht="18">
      <c r="AA3150" s="116"/>
      <c r="AB3150" s="87"/>
      <c r="AC3150" s="116"/>
      <c r="AD3150" s="116"/>
      <c r="AE3150" s="116"/>
      <c r="AF3150" s="116"/>
      <c r="AG3150" s="116"/>
      <c r="AH3150" s="116"/>
      <c r="AI3150" s="116"/>
    </row>
    <row r="3151" spans="27:35" ht="18">
      <c r="AA3151" s="116"/>
      <c r="AB3151" s="87"/>
      <c r="AC3151" s="116"/>
      <c r="AD3151" s="116"/>
      <c r="AE3151" s="116"/>
      <c r="AF3151" s="116"/>
      <c r="AG3151" s="116"/>
      <c r="AH3151" s="116"/>
      <c r="AI3151" s="116"/>
    </row>
    <row r="3152" spans="27:35" ht="18">
      <c r="AA3152" s="116"/>
      <c r="AB3152" s="184"/>
      <c r="AC3152" s="116"/>
      <c r="AD3152" s="116"/>
      <c r="AE3152" s="116"/>
      <c r="AF3152" s="116"/>
      <c r="AG3152" s="116"/>
      <c r="AH3152" s="116"/>
      <c r="AI3152" s="116"/>
    </row>
    <row r="3153" spans="27:35" ht="18">
      <c r="AA3153" s="116"/>
      <c r="AB3153" s="87"/>
      <c r="AC3153" s="116"/>
      <c r="AD3153" s="116"/>
      <c r="AE3153" s="116"/>
      <c r="AF3153" s="116"/>
      <c r="AG3153" s="116"/>
      <c r="AH3153" s="116"/>
      <c r="AI3153" s="116"/>
    </row>
    <row r="3154" spans="27:35" ht="18">
      <c r="AA3154" s="116"/>
      <c r="AB3154" s="87"/>
      <c r="AC3154" s="116"/>
      <c r="AD3154" s="116"/>
      <c r="AE3154" s="116"/>
      <c r="AF3154" s="116"/>
      <c r="AG3154" s="116"/>
      <c r="AH3154" s="116"/>
      <c r="AI3154" s="116"/>
    </row>
    <row r="3155" spans="27:35" ht="18">
      <c r="AA3155" s="116"/>
      <c r="AB3155" s="87"/>
      <c r="AC3155" s="116"/>
      <c r="AD3155" s="116"/>
      <c r="AE3155" s="116"/>
      <c r="AF3155" s="116"/>
      <c r="AG3155" s="116"/>
      <c r="AH3155" s="116"/>
      <c r="AI3155" s="116"/>
    </row>
    <row r="3156" spans="27:35" ht="18">
      <c r="AA3156" s="116"/>
      <c r="AB3156" s="87"/>
      <c r="AC3156" s="116"/>
      <c r="AD3156" s="116"/>
      <c r="AE3156" s="116"/>
      <c r="AF3156" s="116"/>
      <c r="AG3156" s="116"/>
      <c r="AH3156" s="116"/>
      <c r="AI3156" s="116"/>
    </row>
    <row r="3157" spans="27:35" ht="18">
      <c r="AA3157" s="116"/>
      <c r="AB3157" s="87"/>
      <c r="AC3157" s="116"/>
      <c r="AD3157" s="116"/>
      <c r="AE3157" s="116"/>
      <c r="AF3157" s="116"/>
      <c r="AG3157" s="116"/>
      <c r="AH3157" s="116"/>
      <c r="AI3157" s="116"/>
    </row>
    <row r="3158" spans="27:35" ht="18">
      <c r="AA3158" s="116"/>
      <c r="AB3158" s="87"/>
      <c r="AC3158" s="116"/>
      <c r="AD3158" s="116"/>
      <c r="AE3158" s="116"/>
      <c r="AF3158" s="116"/>
      <c r="AG3158" s="116"/>
      <c r="AH3158" s="116"/>
      <c r="AI3158" s="116"/>
    </row>
    <row r="3159" spans="27:35" ht="18">
      <c r="AA3159" s="116"/>
      <c r="AB3159" s="87"/>
      <c r="AC3159" s="116"/>
      <c r="AD3159" s="116"/>
      <c r="AE3159" s="116"/>
      <c r="AF3159" s="116"/>
      <c r="AG3159" s="116"/>
      <c r="AH3159" s="116"/>
      <c r="AI3159" s="116"/>
    </row>
    <row r="3160" spans="27:35" ht="18">
      <c r="AA3160" s="116"/>
      <c r="AB3160" s="87"/>
      <c r="AC3160" s="116"/>
      <c r="AD3160" s="116"/>
      <c r="AE3160" s="116"/>
      <c r="AF3160" s="116"/>
      <c r="AG3160" s="116"/>
      <c r="AH3160" s="116"/>
      <c r="AI3160" s="116"/>
    </row>
    <row r="3161" spans="27:35" ht="18">
      <c r="AA3161" s="116"/>
      <c r="AB3161" s="87"/>
      <c r="AC3161" s="116"/>
      <c r="AD3161" s="116"/>
      <c r="AE3161" s="116"/>
      <c r="AF3161" s="116"/>
      <c r="AG3161" s="116"/>
      <c r="AH3161" s="116"/>
      <c r="AI3161" s="116"/>
    </row>
    <row r="3162" spans="27:35" ht="18">
      <c r="AA3162" s="116"/>
      <c r="AB3162" s="87"/>
      <c r="AC3162" s="116"/>
      <c r="AD3162" s="116"/>
      <c r="AE3162" s="116"/>
      <c r="AF3162" s="116"/>
      <c r="AG3162" s="116"/>
      <c r="AH3162" s="116"/>
      <c r="AI3162" s="116"/>
    </row>
    <row r="3163" spans="27:35" ht="18">
      <c r="AA3163" s="116"/>
      <c r="AB3163" s="87"/>
      <c r="AC3163" s="116"/>
      <c r="AD3163" s="116"/>
      <c r="AE3163" s="116"/>
      <c r="AF3163" s="116"/>
      <c r="AG3163" s="116"/>
      <c r="AH3163" s="116"/>
      <c r="AI3163" s="116"/>
    </row>
    <row r="3164" spans="27:35" ht="18">
      <c r="AA3164" s="116"/>
      <c r="AB3164" s="87"/>
      <c r="AC3164" s="116"/>
      <c r="AD3164" s="116"/>
      <c r="AE3164" s="116"/>
      <c r="AF3164" s="116"/>
      <c r="AG3164" s="116"/>
      <c r="AH3164" s="116"/>
      <c r="AI3164" s="116"/>
    </row>
    <row r="3165" spans="27:35" ht="18">
      <c r="AA3165" s="116"/>
      <c r="AB3165" s="87"/>
      <c r="AC3165" s="116"/>
      <c r="AD3165" s="116"/>
      <c r="AE3165" s="116"/>
      <c r="AF3165" s="116"/>
      <c r="AG3165" s="116"/>
      <c r="AH3165" s="116"/>
      <c r="AI3165" s="116"/>
    </row>
    <row r="3166" spans="27:35" ht="18">
      <c r="AA3166" s="116"/>
      <c r="AB3166" s="87"/>
      <c r="AC3166" s="116"/>
      <c r="AD3166" s="116"/>
      <c r="AE3166" s="116"/>
      <c r="AF3166" s="116"/>
      <c r="AG3166" s="116"/>
      <c r="AH3166" s="116"/>
      <c r="AI3166" s="116"/>
    </row>
    <row r="3167" spans="27:35" ht="18">
      <c r="AA3167" s="116"/>
      <c r="AB3167" s="87"/>
      <c r="AC3167" s="116"/>
      <c r="AD3167" s="116"/>
      <c r="AE3167" s="116"/>
      <c r="AF3167" s="116"/>
      <c r="AG3167" s="116"/>
      <c r="AH3167" s="116"/>
      <c r="AI3167" s="116"/>
    </row>
    <row r="3168" spans="27:35" ht="18">
      <c r="AA3168" s="116"/>
      <c r="AB3168" s="87"/>
      <c r="AC3168" s="116"/>
      <c r="AD3168" s="116"/>
      <c r="AE3168" s="116"/>
      <c r="AF3168" s="116"/>
      <c r="AG3168" s="116"/>
      <c r="AH3168" s="116"/>
      <c r="AI3168" s="116"/>
    </row>
    <row r="3169" spans="27:35" ht="18">
      <c r="AA3169" s="116"/>
      <c r="AB3169" s="184"/>
      <c r="AC3169" s="116"/>
      <c r="AD3169" s="116"/>
      <c r="AE3169" s="116"/>
      <c r="AF3169" s="116"/>
      <c r="AG3169" s="116"/>
      <c r="AH3169" s="116"/>
      <c r="AI3169" s="116"/>
    </row>
    <row r="3170" spans="27:35" ht="18">
      <c r="AA3170" s="116"/>
      <c r="AB3170" s="87"/>
      <c r="AC3170" s="116"/>
      <c r="AD3170" s="116"/>
      <c r="AE3170" s="116"/>
      <c r="AF3170" s="116"/>
      <c r="AG3170" s="116"/>
      <c r="AH3170" s="116"/>
      <c r="AI3170" s="116"/>
    </row>
    <row r="3171" spans="27:35" ht="18">
      <c r="AA3171" s="116"/>
      <c r="AB3171" s="87"/>
      <c r="AC3171" s="116"/>
      <c r="AD3171" s="116"/>
      <c r="AE3171" s="116"/>
      <c r="AF3171" s="116"/>
      <c r="AG3171" s="116"/>
      <c r="AH3171" s="116"/>
      <c r="AI3171" s="116"/>
    </row>
    <row r="3172" spans="27:35" ht="18">
      <c r="AA3172" s="116"/>
      <c r="AB3172" s="87"/>
      <c r="AC3172" s="116"/>
      <c r="AD3172" s="116"/>
      <c r="AE3172" s="116"/>
      <c r="AF3172" s="116"/>
      <c r="AG3172" s="116"/>
      <c r="AH3172" s="116"/>
      <c r="AI3172" s="116"/>
    </row>
    <row r="3173" spans="27:35" ht="18">
      <c r="AA3173" s="116"/>
      <c r="AB3173" s="87"/>
      <c r="AC3173" s="116"/>
      <c r="AD3173" s="116"/>
      <c r="AE3173" s="116"/>
      <c r="AF3173" s="116"/>
      <c r="AG3173" s="116"/>
      <c r="AH3173" s="116"/>
      <c r="AI3173" s="116"/>
    </row>
    <row r="3174" spans="27:35" ht="18">
      <c r="AA3174" s="116"/>
      <c r="AB3174" s="87"/>
      <c r="AC3174" s="116"/>
      <c r="AD3174" s="116"/>
      <c r="AE3174" s="116"/>
      <c r="AF3174" s="116"/>
      <c r="AG3174" s="116"/>
      <c r="AH3174" s="116"/>
      <c r="AI3174" s="116"/>
    </row>
    <row r="3175" spans="27:35" ht="18">
      <c r="AA3175" s="116"/>
      <c r="AB3175" s="87"/>
      <c r="AC3175" s="116"/>
      <c r="AD3175" s="116"/>
      <c r="AE3175" s="116"/>
      <c r="AF3175" s="116"/>
      <c r="AG3175" s="116"/>
      <c r="AH3175" s="116"/>
      <c r="AI3175" s="116"/>
    </row>
    <row r="3176" spans="27:35" ht="18">
      <c r="AA3176" s="116"/>
      <c r="AB3176" s="87"/>
      <c r="AC3176" s="116"/>
      <c r="AD3176" s="116"/>
      <c r="AE3176" s="116"/>
      <c r="AF3176" s="116"/>
      <c r="AG3176" s="116"/>
      <c r="AH3176" s="116"/>
      <c r="AI3176" s="116"/>
    </row>
    <row r="3177" spans="27:35" ht="18">
      <c r="AA3177" s="116"/>
      <c r="AB3177" s="87"/>
      <c r="AC3177" s="116"/>
      <c r="AD3177" s="116"/>
      <c r="AE3177" s="116"/>
      <c r="AF3177" s="116"/>
      <c r="AG3177" s="116"/>
      <c r="AH3177" s="116"/>
      <c r="AI3177" s="116"/>
    </row>
    <row r="3178" spans="27:35" ht="18">
      <c r="AA3178" s="116"/>
      <c r="AB3178" s="87"/>
      <c r="AC3178" s="116"/>
      <c r="AD3178" s="116"/>
      <c r="AE3178" s="116"/>
      <c r="AF3178" s="116"/>
      <c r="AG3178" s="116"/>
      <c r="AH3178" s="116"/>
      <c r="AI3178" s="116"/>
    </row>
    <row r="3179" spans="27:35" ht="18">
      <c r="AA3179" s="116"/>
      <c r="AB3179" s="87"/>
      <c r="AC3179" s="116"/>
      <c r="AD3179" s="116"/>
      <c r="AE3179" s="116"/>
      <c r="AF3179" s="116"/>
      <c r="AG3179" s="116"/>
      <c r="AH3179" s="116"/>
      <c r="AI3179" s="116"/>
    </row>
    <row r="3180" spans="27:35" ht="18">
      <c r="AA3180" s="116"/>
      <c r="AB3180" s="87"/>
      <c r="AC3180" s="116"/>
      <c r="AD3180" s="116"/>
      <c r="AE3180" s="116"/>
      <c r="AF3180" s="116"/>
      <c r="AG3180" s="116"/>
      <c r="AH3180" s="116"/>
      <c r="AI3180" s="116"/>
    </row>
    <row r="3181" spans="27:35" ht="18">
      <c r="AA3181" s="116"/>
      <c r="AB3181" s="87"/>
      <c r="AC3181" s="116"/>
      <c r="AD3181" s="116"/>
      <c r="AE3181" s="116"/>
      <c r="AF3181" s="116"/>
      <c r="AG3181" s="116"/>
      <c r="AH3181" s="116"/>
      <c r="AI3181" s="116"/>
    </row>
    <row r="3182" spans="27:35" ht="18">
      <c r="AA3182" s="116"/>
      <c r="AB3182" s="87"/>
      <c r="AC3182" s="116"/>
      <c r="AD3182" s="116"/>
      <c r="AE3182" s="116"/>
      <c r="AF3182" s="116"/>
      <c r="AG3182" s="116"/>
      <c r="AH3182" s="116"/>
      <c r="AI3182" s="116"/>
    </row>
    <row r="3183" spans="27:35" ht="18">
      <c r="AA3183" s="116"/>
      <c r="AB3183" s="87"/>
      <c r="AC3183" s="116"/>
      <c r="AD3183" s="116"/>
      <c r="AE3183" s="116"/>
      <c r="AF3183" s="116"/>
      <c r="AG3183" s="116"/>
      <c r="AH3183" s="116"/>
      <c r="AI3183" s="116"/>
    </row>
    <row r="3184" spans="27:35" ht="18">
      <c r="AA3184" s="116"/>
      <c r="AB3184" s="87"/>
      <c r="AC3184" s="116"/>
      <c r="AD3184" s="116"/>
      <c r="AE3184" s="116"/>
      <c r="AF3184" s="116"/>
      <c r="AG3184" s="116"/>
      <c r="AH3184" s="116"/>
      <c r="AI3184" s="116"/>
    </row>
    <row r="3185" spans="27:35" ht="18">
      <c r="AA3185" s="116"/>
      <c r="AB3185" s="87"/>
      <c r="AC3185" s="116"/>
      <c r="AD3185" s="116"/>
      <c r="AE3185" s="116"/>
      <c r="AF3185" s="116"/>
      <c r="AG3185" s="116"/>
      <c r="AH3185" s="116"/>
      <c r="AI3185" s="116"/>
    </row>
    <row r="3186" spans="27:35" ht="18">
      <c r="AA3186" s="116"/>
      <c r="AB3186" s="87"/>
      <c r="AC3186" s="116"/>
      <c r="AD3186" s="116"/>
      <c r="AE3186" s="116"/>
      <c r="AF3186" s="116"/>
      <c r="AG3186" s="116"/>
      <c r="AH3186" s="116"/>
      <c r="AI3186" s="116"/>
    </row>
    <row r="3187" spans="27:35" ht="18">
      <c r="AA3187" s="116"/>
      <c r="AB3187" s="87"/>
      <c r="AC3187" s="116"/>
      <c r="AD3187" s="116"/>
      <c r="AE3187" s="116"/>
      <c r="AF3187" s="116"/>
      <c r="AG3187" s="116"/>
      <c r="AH3187" s="116"/>
      <c r="AI3187" s="116"/>
    </row>
    <row r="3188" spans="27:35" ht="18">
      <c r="AA3188" s="116"/>
      <c r="AB3188" s="87"/>
      <c r="AC3188" s="116"/>
      <c r="AD3188" s="116"/>
      <c r="AE3188" s="116"/>
      <c r="AF3188" s="116"/>
      <c r="AG3188" s="116"/>
      <c r="AH3188" s="116"/>
      <c r="AI3188" s="116"/>
    </row>
    <row r="3189" spans="27:35" ht="18">
      <c r="AA3189" s="116"/>
      <c r="AB3189" s="87"/>
      <c r="AC3189" s="116"/>
      <c r="AD3189" s="116"/>
      <c r="AE3189" s="116"/>
      <c r="AF3189" s="116"/>
      <c r="AG3189" s="116"/>
      <c r="AH3189" s="116"/>
      <c r="AI3189" s="116"/>
    </row>
    <row r="3190" spans="27:35" ht="18">
      <c r="AA3190" s="116"/>
      <c r="AB3190" s="184"/>
      <c r="AC3190" s="116"/>
      <c r="AD3190" s="116"/>
      <c r="AE3190" s="116"/>
      <c r="AF3190" s="116"/>
      <c r="AG3190" s="116"/>
      <c r="AH3190" s="116"/>
      <c r="AI3190" s="116"/>
    </row>
    <row r="3191" spans="27:35" ht="18">
      <c r="AA3191" s="116"/>
      <c r="AB3191" s="184"/>
      <c r="AC3191" s="116"/>
      <c r="AD3191" s="116"/>
      <c r="AE3191" s="116"/>
      <c r="AF3191" s="116"/>
      <c r="AG3191" s="116"/>
      <c r="AH3191" s="116"/>
      <c r="AI3191" s="116"/>
    </row>
    <row r="3192" spans="27:35" ht="18">
      <c r="AA3192" s="116"/>
      <c r="AB3192" s="87"/>
      <c r="AC3192" s="116"/>
      <c r="AD3192" s="116"/>
      <c r="AE3192" s="116"/>
      <c r="AF3192" s="116"/>
      <c r="AG3192" s="116"/>
      <c r="AH3192" s="116"/>
      <c r="AI3192" s="116"/>
    </row>
    <row r="3193" spans="27:35" ht="18">
      <c r="AA3193" s="116"/>
      <c r="AB3193" s="87"/>
      <c r="AC3193" s="116"/>
      <c r="AD3193" s="116"/>
      <c r="AE3193" s="116"/>
      <c r="AF3193" s="116"/>
      <c r="AG3193" s="116"/>
      <c r="AH3193" s="116"/>
      <c r="AI3193" s="116"/>
    </row>
    <row r="3194" spans="27:35" ht="18">
      <c r="AA3194" s="116"/>
      <c r="AB3194" s="87"/>
      <c r="AC3194" s="116"/>
      <c r="AD3194" s="116"/>
      <c r="AE3194" s="116"/>
      <c r="AF3194" s="116"/>
      <c r="AG3194" s="116"/>
      <c r="AH3194" s="116"/>
      <c r="AI3194" s="116"/>
    </row>
    <row r="3195" spans="27:35" ht="18">
      <c r="AA3195" s="116"/>
      <c r="AB3195" s="184"/>
      <c r="AC3195" s="116"/>
      <c r="AD3195" s="116"/>
      <c r="AE3195" s="116"/>
      <c r="AF3195" s="116"/>
      <c r="AG3195" s="116"/>
      <c r="AH3195" s="116"/>
      <c r="AI3195" s="116"/>
    </row>
    <row r="3196" spans="27:35" ht="18">
      <c r="AA3196" s="116"/>
      <c r="AB3196" s="184"/>
      <c r="AC3196" s="116"/>
      <c r="AD3196" s="116"/>
      <c r="AE3196" s="116"/>
      <c r="AF3196" s="116"/>
      <c r="AG3196" s="116"/>
      <c r="AH3196" s="116"/>
      <c r="AI3196" s="116"/>
    </row>
    <row r="3197" spans="27:35" ht="18">
      <c r="AA3197" s="116"/>
      <c r="AB3197" s="87"/>
      <c r="AC3197" s="116"/>
      <c r="AD3197" s="116"/>
      <c r="AE3197" s="116"/>
      <c r="AF3197" s="116"/>
      <c r="AG3197" s="116"/>
      <c r="AH3197" s="116"/>
      <c r="AI3197" s="116"/>
    </row>
    <row r="3198" spans="27:35" ht="18">
      <c r="AA3198" s="116"/>
      <c r="AB3198" s="87"/>
      <c r="AC3198" s="116"/>
      <c r="AD3198" s="116"/>
      <c r="AE3198" s="116"/>
      <c r="AF3198" s="116"/>
      <c r="AG3198" s="116"/>
      <c r="AH3198" s="116"/>
      <c r="AI3198" s="116"/>
    </row>
    <row r="3199" spans="27:35" ht="18">
      <c r="AA3199" s="116"/>
      <c r="AB3199" s="87"/>
      <c r="AC3199" s="116"/>
      <c r="AD3199" s="116"/>
      <c r="AE3199" s="116"/>
      <c r="AF3199" s="116"/>
      <c r="AG3199" s="116"/>
      <c r="AH3199" s="116"/>
      <c r="AI3199" s="116"/>
    </row>
    <row r="3200" spans="27:35" ht="18">
      <c r="AA3200" s="116"/>
      <c r="AB3200" s="87"/>
      <c r="AC3200" s="116"/>
      <c r="AD3200" s="116"/>
      <c r="AE3200" s="116"/>
      <c r="AF3200" s="116"/>
      <c r="AG3200" s="116"/>
      <c r="AH3200" s="116"/>
      <c r="AI3200" s="116"/>
    </row>
    <row r="3201" spans="27:35" ht="18">
      <c r="AA3201" s="116"/>
      <c r="AB3201" s="87"/>
      <c r="AC3201" s="116"/>
      <c r="AD3201" s="116"/>
      <c r="AE3201" s="116"/>
      <c r="AF3201" s="116"/>
      <c r="AG3201" s="116"/>
      <c r="AH3201" s="116"/>
      <c r="AI3201" s="116"/>
    </row>
    <row r="3202" spans="27:35" ht="18">
      <c r="AA3202" s="116"/>
      <c r="AB3202" s="87"/>
      <c r="AC3202" s="116"/>
      <c r="AD3202" s="116"/>
      <c r="AE3202" s="116"/>
      <c r="AF3202" s="116"/>
      <c r="AG3202" s="116"/>
      <c r="AH3202" s="116"/>
      <c r="AI3202" s="116"/>
    </row>
    <row r="3203" spans="27:35" ht="18">
      <c r="AA3203" s="116"/>
      <c r="AB3203" s="87"/>
      <c r="AC3203" s="116"/>
      <c r="AD3203" s="116"/>
      <c r="AE3203" s="116"/>
      <c r="AF3203" s="116"/>
      <c r="AG3203" s="116"/>
      <c r="AH3203" s="116"/>
      <c r="AI3203" s="116"/>
    </row>
    <row r="3204" spans="27:35" ht="18">
      <c r="AA3204" s="116"/>
      <c r="AB3204" s="184"/>
      <c r="AC3204" s="116"/>
      <c r="AD3204" s="116"/>
      <c r="AE3204" s="116"/>
      <c r="AF3204" s="116"/>
      <c r="AG3204" s="116"/>
      <c r="AH3204" s="116"/>
      <c r="AI3204" s="116"/>
    </row>
    <row r="3205" spans="27:35" ht="18">
      <c r="AA3205" s="116"/>
      <c r="AB3205" s="184"/>
      <c r="AC3205" s="116"/>
      <c r="AD3205" s="116"/>
      <c r="AE3205" s="116"/>
      <c r="AF3205" s="116"/>
      <c r="AG3205" s="116"/>
      <c r="AH3205" s="116"/>
      <c r="AI3205" s="116"/>
    </row>
    <row r="3206" spans="27:35" ht="18">
      <c r="AA3206" s="116"/>
      <c r="AB3206" s="87"/>
      <c r="AC3206" s="116"/>
      <c r="AD3206" s="116"/>
      <c r="AE3206" s="116"/>
      <c r="AF3206" s="116"/>
      <c r="AG3206" s="116"/>
      <c r="AH3206" s="116"/>
      <c r="AI3206" s="116"/>
    </row>
    <row r="3207" spans="27:35" ht="18">
      <c r="AA3207" s="116"/>
      <c r="AB3207" s="87"/>
      <c r="AC3207" s="116"/>
      <c r="AD3207" s="116"/>
      <c r="AE3207" s="116"/>
      <c r="AF3207" s="116"/>
      <c r="AG3207" s="116"/>
      <c r="AH3207" s="116"/>
      <c r="AI3207" s="116"/>
    </row>
    <row r="3208" spans="27:35" ht="18">
      <c r="AA3208" s="116"/>
      <c r="AB3208" s="87"/>
      <c r="AC3208" s="116"/>
      <c r="AD3208" s="116"/>
      <c r="AE3208" s="116"/>
      <c r="AF3208" s="116"/>
      <c r="AG3208" s="116"/>
      <c r="AH3208" s="116"/>
      <c r="AI3208" s="116"/>
    </row>
    <row r="3209" spans="27:35" ht="18">
      <c r="AA3209" s="116"/>
      <c r="AB3209" s="87"/>
      <c r="AC3209" s="116"/>
      <c r="AD3209" s="116"/>
      <c r="AE3209" s="116"/>
      <c r="AF3209" s="116"/>
      <c r="AG3209" s="116"/>
      <c r="AH3209" s="116"/>
      <c r="AI3209" s="116"/>
    </row>
    <row r="3210" spans="27:35" ht="18">
      <c r="AA3210" s="116"/>
      <c r="AB3210" s="87"/>
      <c r="AC3210" s="116"/>
      <c r="AD3210" s="116"/>
      <c r="AE3210" s="116"/>
      <c r="AF3210" s="116"/>
      <c r="AG3210" s="116"/>
      <c r="AH3210" s="116"/>
      <c r="AI3210" s="116"/>
    </row>
    <row r="3211" spans="27:35" ht="18">
      <c r="AA3211" s="116"/>
      <c r="AB3211" s="87"/>
      <c r="AC3211" s="116"/>
      <c r="AD3211" s="116"/>
      <c r="AE3211" s="116"/>
      <c r="AF3211" s="116"/>
      <c r="AG3211" s="116"/>
      <c r="AH3211" s="116"/>
      <c r="AI3211" s="116"/>
    </row>
    <row r="3212" spans="27:35" ht="18">
      <c r="AA3212" s="116"/>
      <c r="AB3212" s="87"/>
      <c r="AC3212" s="116"/>
      <c r="AD3212" s="116"/>
      <c r="AE3212" s="116"/>
      <c r="AF3212" s="116"/>
      <c r="AG3212" s="116"/>
      <c r="AH3212" s="116"/>
      <c r="AI3212" s="116"/>
    </row>
    <row r="3213" spans="27:35" ht="18">
      <c r="AA3213" s="116"/>
      <c r="AB3213" s="87"/>
      <c r="AC3213" s="116"/>
      <c r="AD3213" s="116"/>
      <c r="AE3213" s="116"/>
      <c r="AF3213" s="116"/>
      <c r="AG3213" s="116"/>
      <c r="AH3213" s="116"/>
      <c r="AI3213" s="116"/>
    </row>
    <row r="3214" spans="27:35" ht="18">
      <c r="AA3214" s="116"/>
      <c r="AB3214" s="184"/>
      <c r="AC3214" s="116"/>
      <c r="AD3214" s="116"/>
      <c r="AE3214" s="116"/>
      <c r="AF3214" s="116"/>
      <c r="AG3214" s="116"/>
      <c r="AH3214" s="116"/>
      <c r="AI3214" s="116"/>
    </row>
    <row r="3215" spans="27:35" ht="18">
      <c r="AA3215" s="116"/>
      <c r="AB3215" s="184"/>
      <c r="AC3215" s="116"/>
      <c r="AD3215" s="116"/>
      <c r="AE3215" s="116"/>
      <c r="AF3215" s="116"/>
      <c r="AG3215" s="116"/>
      <c r="AH3215" s="116"/>
      <c r="AI3215" s="116"/>
    </row>
    <row r="3216" spans="27:35" ht="18">
      <c r="AA3216" s="116"/>
      <c r="AB3216" s="184"/>
      <c r="AC3216" s="116"/>
      <c r="AD3216" s="116"/>
      <c r="AE3216" s="116"/>
      <c r="AF3216" s="116"/>
      <c r="AG3216" s="116"/>
      <c r="AH3216" s="116"/>
      <c r="AI3216" s="116"/>
    </row>
    <row r="3217" spans="27:35" ht="18">
      <c r="AA3217" s="116"/>
      <c r="AB3217" s="87"/>
      <c r="AC3217" s="116"/>
      <c r="AD3217" s="116"/>
      <c r="AE3217" s="116"/>
      <c r="AF3217" s="116"/>
      <c r="AG3217" s="116"/>
      <c r="AH3217" s="116"/>
      <c r="AI3217" s="116"/>
    </row>
    <row r="3218" spans="27:35" ht="18">
      <c r="AA3218" s="116"/>
      <c r="AB3218" s="87"/>
      <c r="AC3218" s="116"/>
      <c r="AD3218" s="116"/>
      <c r="AE3218" s="116"/>
      <c r="AF3218" s="116"/>
      <c r="AG3218" s="116"/>
      <c r="AH3218" s="116"/>
      <c r="AI3218" s="116"/>
    </row>
    <row r="3219" spans="27:35" ht="18">
      <c r="AA3219" s="116"/>
      <c r="AB3219" s="184"/>
      <c r="AC3219" s="116"/>
      <c r="AD3219" s="116"/>
      <c r="AE3219" s="116"/>
      <c r="AF3219" s="116"/>
      <c r="AG3219" s="116"/>
      <c r="AH3219" s="116"/>
      <c r="AI3219" s="116"/>
    </row>
    <row r="3220" spans="27:35" ht="18">
      <c r="AA3220" s="116"/>
      <c r="AB3220" s="87"/>
      <c r="AC3220" s="116"/>
      <c r="AD3220" s="116"/>
      <c r="AE3220" s="116"/>
      <c r="AF3220" s="116"/>
      <c r="AG3220" s="116"/>
      <c r="AH3220" s="116"/>
      <c r="AI3220" s="116"/>
    </row>
    <row r="3221" spans="27:35" ht="18">
      <c r="AA3221" s="116"/>
      <c r="AB3221" s="87"/>
      <c r="AC3221" s="116"/>
      <c r="AD3221" s="116"/>
      <c r="AE3221" s="116"/>
      <c r="AF3221" s="116"/>
      <c r="AG3221" s="116"/>
      <c r="AH3221" s="116"/>
      <c r="AI3221" s="116"/>
    </row>
    <row r="3222" spans="27:35" ht="18">
      <c r="AA3222" s="116"/>
      <c r="AB3222" s="184"/>
      <c r="AC3222" s="116"/>
      <c r="AD3222" s="116"/>
      <c r="AE3222" s="116"/>
      <c r="AF3222" s="116"/>
      <c r="AG3222" s="116"/>
      <c r="AH3222" s="116"/>
      <c r="AI3222" s="116"/>
    </row>
    <row r="3223" spans="27:35" ht="18">
      <c r="AA3223" s="116"/>
      <c r="AB3223" s="87"/>
      <c r="AC3223" s="116"/>
      <c r="AD3223" s="116"/>
      <c r="AE3223" s="116"/>
      <c r="AF3223" s="116"/>
      <c r="AG3223" s="116"/>
      <c r="AH3223" s="116"/>
      <c r="AI3223" s="116"/>
    </row>
    <row r="3224" spans="27:35" ht="18">
      <c r="AA3224" s="116"/>
      <c r="AB3224" s="87"/>
      <c r="AC3224" s="116"/>
      <c r="AD3224" s="116"/>
      <c r="AE3224" s="116"/>
      <c r="AF3224" s="116"/>
      <c r="AG3224" s="116"/>
      <c r="AH3224" s="116"/>
      <c r="AI3224" s="116"/>
    </row>
    <row r="3225" spans="27:35" ht="18">
      <c r="AA3225" s="116"/>
      <c r="AB3225" s="184"/>
      <c r="AC3225" s="116"/>
      <c r="AD3225" s="116"/>
      <c r="AE3225" s="116"/>
      <c r="AF3225" s="116"/>
      <c r="AG3225" s="116"/>
      <c r="AH3225" s="116"/>
      <c r="AI3225" s="116"/>
    </row>
    <row r="3226" spans="27:35" ht="18">
      <c r="AA3226" s="116"/>
      <c r="AB3226" s="87"/>
      <c r="AC3226" s="116"/>
      <c r="AD3226" s="116"/>
      <c r="AE3226" s="116"/>
      <c r="AF3226" s="116"/>
      <c r="AG3226" s="116"/>
      <c r="AH3226" s="116"/>
      <c r="AI3226" s="116"/>
    </row>
    <row r="3227" spans="27:35" ht="18">
      <c r="AA3227" s="116"/>
      <c r="AB3227" s="87"/>
      <c r="AC3227" s="116"/>
      <c r="AD3227" s="116"/>
      <c r="AE3227" s="116"/>
      <c r="AF3227" s="116"/>
      <c r="AG3227" s="116"/>
      <c r="AH3227" s="116"/>
      <c r="AI3227" s="116"/>
    </row>
    <row r="3228" spans="27:35" ht="18">
      <c r="AA3228" s="116"/>
      <c r="AB3228" s="184"/>
      <c r="AC3228" s="116"/>
      <c r="AD3228" s="116"/>
      <c r="AE3228" s="116"/>
      <c r="AF3228" s="116"/>
      <c r="AG3228" s="116"/>
      <c r="AH3228" s="116"/>
      <c r="AI3228" s="116"/>
    </row>
    <row r="3229" spans="27:35" ht="18">
      <c r="AA3229" s="116"/>
      <c r="AB3229" s="87"/>
      <c r="AC3229" s="116"/>
      <c r="AD3229" s="116"/>
      <c r="AE3229" s="116"/>
      <c r="AF3229" s="116"/>
      <c r="AG3229" s="116"/>
      <c r="AH3229" s="116"/>
      <c r="AI3229" s="116"/>
    </row>
    <row r="3230" spans="27:35" ht="18">
      <c r="AA3230" s="116"/>
      <c r="AB3230" s="87"/>
      <c r="AC3230" s="116"/>
      <c r="AD3230" s="116"/>
      <c r="AE3230" s="116"/>
      <c r="AF3230" s="116"/>
      <c r="AG3230" s="116"/>
      <c r="AH3230" s="116"/>
      <c r="AI3230" s="116"/>
    </row>
    <row r="3231" spans="27:35" ht="18">
      <c r="AA3231" s="116"/>
      <c r="AB3231" s="87"/>
      <c r="AC3231" s="116"/>
      <c r="AD3231" s="116"/>
      <c r="AE3231" s="116"/>
      <c r="AF3231" s="116"/>
      <c r="AG3231" s="116"/>
      <c r="AH3231" s="116"/>
      <c r="AI3231" s="116"/>
    </row>
    <row r="3232" spans="27:35" ht="18">
      <c r="AA3232" s="116"/>
      <c r="AB3232" s="87"/>
      <c r="AC3232" s="116"/>
      <c r="AD3232" s="116"/>
      <c r="AE3232" s="116"/>
      <c r="AF3232" s="116"/>
      <c r="AG3232" s="116"/>
      <c r="AH3232" s="116"/>
      <c r="AI3232" s="116"/>
    </row>
    <row r="3233" spans="27:35" ht="18">
      <c r="AA3233" s="116"/>
      <c r="AB3233" s="184"/>
      <c r="AC3233" s="116"/>
      <c r="AD3233" s="116"/>
      <c r="AE3233" s="116"/>
      <c r="AF3233" s="116"/>
      <c r="AG3233" s="116"/>
      <c r="AH3233" s="116"/>
      <c r="AI3233" s="116"/>
    </row>
    <row r="3234" spans="27:35" ht="18">
      <c r="AA3234" s="116"/>
      <c r="AB3234" s="184"/>
      <c r="AC3234" s="116"/>
      <c r="AD3234" s="116"/>
      <c r="AE3234" s="116"/>
      <c r="AF3234" s="116"/>
      <c r="AG3234" s="116"/>
      <c r="AH3234" s="116"/>
      <c r="AI3234" s="116"/>
    </row>
    <row r="3235" spans="27:35" ht="18">
      <c r="AA3235" s="116"/>
      <c r="AB3235" s="87"/>
      <c r="AC3235" s="116"/>
      <c r="AD3235" s="116"/>
      <c r="AE3235" s="116"/>
      <c r="AF3235" s="116"/>
      <c r="AG3235" s="116"/>
      <c r="AH3235" s="116"/>
      <c r="AI3235" s="116"/>
    </row>
    <row r="3236" spans="27:35" ht="18">
      <c r="AA3236" s="116"/>
      <c r="AB3236" s="87"/>
      <c r="AC3236" s="116"/>
      <c r="AD3236" s="116"/>
      <c r="AE3236" s="116"/>
      <c r="AF3236" s="116"/>
      <c r="AG3236" s="116"/>
      <c r="AH3236" s="116"/>
      <c r="AI3236" s="116"/>
    </row>
    <row r="3237" spans="27:35" ht="18">
      <c r="AA3237" s="116"/>
      <c r="AB3237" s="87"/>
      <c r="AC3237" s="116"/>
      <c r="AD3237" s="116"/>
      <c r="AE3237" s="116"/>
      <c r="AF3237" s="116"/>
      <c r="AG3237" s="116"/>
      <c r="AH3237" s="116"/>
      <c r="AI3237" s="116"/>
    </row>
    <row r="3238" spans="27:35" ht="18">
      <c r="AA3238" s="116"/>
      <c r="AB3238" s="184"/>
      <c r="AC3238" s="116"/>
      <c r="AD3238" s="116"/>
      <c r="AE3238" s="116"/>
      <c r="AF3238" s="116"/>
      <c r="AG3238" s="116"/>
      <c r="AH3238" s="116"/>
      <c r="AI3238" s="116"/>
    </row>
    <row r="3239" spans="27:35" ht="18">
      <c r="AA3239" s="116"/>
      <c r="AB3239" s="87"/>
      <c r="AC3239" s="116"/>
      <c r="AD3239" s="116"/>
      <c r="AE3239" s="116"/>
      <c r="AF3239" s="116"/>
      <c r="AG3239" s="116"/>
      <c r="AH3239" s="116"/>
      <c r="AI3239" s="116"/>
    </row>
    <row r="3240" spans="27:35" ht="18">
      <c r="AA3240" s="116"/>
      <c r="AB3240" s="87"/>
      <c r="AC3240" s="116"/>
      <c r="AD3240" s="116"/>
      <c r="AE3240" s="116"/>
      <c r="AF3240" s="116"/>
      <c r="AG3240" s="116"/>
      <c r="AH3240" s="116"/>
      <c r="AI3240" s="116"/>
    </row>
    <row r="3241" spans="27:35" ht="18">
      <c r="AA3241" s="116"/>
      <c r="AB3241" s="87"/>
      <c r="AC3241" s="116"/>
      <c r="AD3241" s="116"/>
      <c r="AE3241" s="116"/>
      <c r="AF3241" s="116"/>
      <c r="AG3241" s="116"/>
      <c r="AH3241" s="116"/>
      <c r="AI3241" s="116"/>
    </row>
    <row r="3242" spans="27:35" ht="18">
      <c r="AA3242" s="116"/>
      <c r="AB3242" s="87"/>
      <c r="AC3242" s="116"/>
      <c r="AD3242" s="116"/>
      <c r="AE3242" s="116"/>
      <c r="AF3242" s="116"/>
      <c r="AG3242" s="116"/>
      <c r="AH3242" s="116"/>
      <c r="AI3242" s="116"/>
    </row>
    <row r="3243" spans="27:35" ht="18">
      <c r="AA3243" s="116"/>
      <c r="AB3243" s="87"/>
      <c r="AC3243" s="116"/>
      <c r="AD3243" s="116"/>
      <c r="AE3243" s="116"/>
      <c r="AF3243" s="116"/>
      <c r="AG3243" s="116"/>
      <c r="AH3243" s="116"/>
      <c r="AI3243" s="116"/>
    </row>
    <row r="3244" spans="27:35" ht="18">
      <c r="AA3244" s="116"/>
      <c r="AB3244" s="87"/>
      <c r="AC3244" s="116"/>
      <c r="AD3244" s="116"/>
      <c r="AE3244" s="116"/>
      <c r="AF3244" s="116"/>
      <c r="AG3244" s="116"/>
      <c r="AH3244" s="116"/>
      <c r="AI3244" s="116"/>
    </row>
    <row r="3245" spans="27:35" ht="18">
      <c r="AA3245" s="116"/>
      <c r="AB3245" s="87"/>
      <c r="AC3245" s="116"/>
      <c r="AD3245" s="116"/>
      <c r="AE3245" s="116"/>
      <c r="AF3245" s="116"/>
      <c r="AG3245" s="116"/>
      <c r="AH3245" s="116"/>
      <c r="AI3245" s="116"/>
    </row>
    <row r="3246" spans="27:35" ht="18">
      <c r="AA3246" s="116"/>
      <c r="AB3246" s="87"/>
      <c r="AC3246" s="116"/>
      <c r="AD3246" s="116"/>
      <c r="AE3246" s="116"/>
      <c r="AF3246" s="116"/>
      <c r="AG3246" s="116"/>
      <c r="AH3246" s="116"/>
      <c r="AI3246" s="116"/>
    </row>
    <row r="3247" spans="27:35" ht="18">
      <c r="AA3247" s="116"/>
      <c r="AB3247" s="87"/>
      <c r="AC3247" s="116"/>
      <c r="AD3247" s="116"/>
      <c r="AE3247" s="116"/>
      <c r="AF3247" s="116"/>
      <c r="AG3247" s="116"/>
      <c r="AH3247" s="116"/>
      <c r="AI3247" s="116"/>
    </row>
    <row r="3248" spans="27:35" ht="18">
      <c r="AA3248" s="116"/>
      <c r="AB3248" s="184"/>
      <c r="AC3248" s="116"/>
      <c r="AD3248" s="116"/>
      <c r="AE3248" s="116"/>
      <c r="AF3248" s="116"/>
      <c r="AG3248" s="116"/>
      <c r="AH3248" s="116"/>
      <c r="AI3248" s="116"/>
    </row>
    <row r="3249" spans="27:35" ht="18">
      <c r="AA3249" s="116"/>
      <c r="AB3249" s="184"/>
      <c r="AC3249" s="116"/>
      <c r="AD3249" s="116"/>
      <c r="AE3249" s="116"/>
      <c r="AF3249" s="116"/>
      <c r="AG3249" s="116"/>
      <c r="AH3249" s="116"/>
      <c r="AI3249" s="116"/>
    </row>
    <row r="3250" spans="27:35" ht="18">
      <c r="AA3250" s="116"/>
      <c r="AB3250" s="87"/>
      <c r="AC3250" s="116"/>
      <c r="AD3250" s="116"/>
      <c r="AE3250" s="116"/>
      <c r="AF3250" s="116"/>
      <c r="AG3250" s="116"/>
      <c r="AH3250" s="116"/>
      <c r="AI3250" s="116"/>
    </row>
    <row r="3251" spans="27:35" ht="18">
      <c r="AA3251" s="116"/>
      <c r="AB3251" s="87"/>
      <c r="AC3251" s="116"/>
      <c r="AD3251" s="116"/>
      <c r="AE3251" s="116"/>
      <c r="AF3251" s="116"/>
      <c r="AG3251" s="116"/>
      <c r="AH3251" s="116"/>
      <c r="AI3251" s="116"/>
    </row>
    <row r="3252" spans="27:35" ht="18">
      <c r="AA3252" s="116"/>
      <c r="AB3252" s="87"/>
      <c r="AC3252" s="116"/>
      <c r="AD3252" s="116"/>
      <c r="AE3252" s="116"/>
      <c r="AF3252" s="116"/>
      <c r="AG3252" s="116"/>
      <c r="AH3252" s="116"/>
      <c r="AI3252" s="116"/>
    </row>
    <row r="3253" spans="27:35" ht="18">
      <c r="AA3253" s="116"/>
      <c r="AB3253" s="184"/>
      <c r="AC3253" s="116"/>
      <c r="AD3253" s="116"/>
      <c r="AE3253" s="116"/>
      <c r="AF3253" s="116"/>
      <c r="AG3253" s="116"/>
      <c r="AH3253" s="116"/>
      <c r="AI3253" s="116"/>
    </row>
    <row r="3254" spans="27:35" ht="18">
      <c r="AA3254" s="116"/>
      <c r="AB3254" s="87"/>
      <c r="AC3254" s="116"/>
      <c r="AD3254" s="116"/>
      <c r="AE3254" s="116"/>
      <c r="AF3254" s="116"/>
      <c r="AG3254" s="116"/>
      <c r="AH3254" s="116"/>
      <c r="AI3254" s="116"/>
    </row>
    <row r="3255" spans="27:35" ht="18">
      <c r="AA3255" s="116"/>
      <c r="AB3255" s="87"/>
      <c r="AC3255" s="116"/>
      <c r="AD3255" s="116"/>
      <c r="AE3255" s="116"/>
      <c r="AF3255" s="116"/>
      <c r="AG3255" s="116"/>
      <c r="AH3255" s="116"/>
      <c r="AI3255" s="116"/>
    </row>
    <row r="3256" spans="27:35" ht="18">
      <c r="AA3256" s="116"/>
      <c r="AB3256" s="87"/>
      <c r="AC3256" s="116"/>
      <c r="AD3256" s="116"/>
      <c r="AE3256" s="116"/>
      <c r="AF3256" s="116"/>
      <c r="AG3256" s="116"/>
      <c r="AH3256" s="116"/>
      <c r="AI3256" s="116"/>
    </row>
    <row r="3257" spans="27:35" ht="18">
      <c r="AA3257" s="116"/>
      <c r="AB3257" s="87"/>
      <c r="AC3257" s="116"/>
      <c r="AD3257" s="116"/>
      <c r="AE3257" s="116"/>
      <c r="AF3257" s="116"/>
      <c r="AG3257" s="116"/>
      <c r="AH3257" s="116"/>
      <c r="AI3257" s="116"/>
    </row>
    <row r="3258" spans="27:35" ht="18">
      <c r="AA3258" s="116"/>
      <c r="AB3258" s="87"/>
      <c r="AC3258" s="116"/>
      <c r="AD3258" s="116"/>
      <c r="AE3258" s="116"/>
      <c r="AF3258" s="116"/>
      <c r="AG3258" s="116"/>
      <c r="AH3258" s="116"/>
      <c r="AI3258" s="116"/>
    </row>
    <row r="3259" spans="27:35" ht="18">
      <c r="AA3259" s="116"/>
      <c r="AB3259" s="87"/>
      <c r="AC3259" s="116"/>
      <c r="AD3259" s="116"/>
      <c r="AE3259" s="116"/>
      <c r="AF3259" s="116"/>
      <c r="AG3259" s="116"/>
      <c r="AH3259" s="116"/>
      <c r="AI3259" s="116"/>
    </row>
    <row r="3260" spans="27:35" ht="18">
      <c r="AA3260" s="116"/>
      <c r="AB3260" s="87"/>
      <c r="AC3260" s="116"/>
      <c r="AD3260" s="116"/>
      <c r="AE3260" s="116"/>
      <c r="AF3260" s="116"/>
      <c r="AG3260" s="116"/>
      <c r="AH3260" s="116"/>
      <c r="AI3260" s="116"/>
    </row>
    <row r="3261" spans="27:35" ht="18">
      <c r="AA3261" s="116"/>
      <c r="AB3261" s="87"/>
      <c r="AC3261" s="116"/>
      <c r="AD3261" s="116"/>
      <c r="AE3261" s="116"/>
      <c r="AF3261" s="116"/>
      <c r="AG3261" s="116"/>
      <c r="AH3261" s="116"/>
      <c r="AI3261" s="116"/>
    </row>
    <row r="3262" spans="27:35" ht="18">
      <c r="AA3262" s="116"/>
      <c r="AB3262" s="87"/>
      <c r="AC3262" s="116"/>
      <c r="AD3262" s="116"/>
      <c r="AE3262" s="116"/>
      <c r="AF3262" s="116"/>
      <c r="AG3262" s="116"/>
      <c r="AH3262" s="116"/>
      <c r="AI3262" s="116"/>
    </row>
    <row r="3263" spans="27:35" ht="18">
      <c r="AA3263" s="116"/>
      <c r="AB3263" s="87"/>
      <c r="AC3263" s="116"/>
      <c r="AD3263" s="116"/>
      <c r="AE3263" s="116"/>
      <c r="AF3263" s="116"/>
      <c r="AG3263" s="116"/>
      <c r="AH3263" s="116"/>
      <c r="AI3263" s="116"/>
    </row>
    <row r="3264" spans="27:35" ht="18">
      <c r="AA3264" s="116"/>
      <c r="AB3264" s="87"/>
      <c r="AC3264" s="116"/>
      <c r="AD3264" s="116"/>
      <c r="AE3264" s="116"/>
      <c r="AF3264" s="116"/>
      <c r="AG3264" s="116"/>
      <c r="AH3264" s="116"/>
      <c r="AI3264" s="116"/>
    </row>
    <row r="3265" spans="27:35" ht="18">
      <c r="AA3265" s="116"/>
      <c r="AB3265" s="87"/>
      <c r="AC3265" s="116"/>
      <c r="AD3265" s="116"/>
      <c r="AE3265" s="116"/>
      <c r="AF3265" s="116"/>
      <c r="AG3265" s="116"/>
      <c r="AH3265" s="116"/>
      <c r="AI3265" s="116"/>
    </row>
    <row r="3266" spans="27:35" ht="18">
      <c r="AA3266" s="116"/>
      <c r="AB3266" s="87"/>
      <c r="AC3266" s="116"/>
      <c r="AD3266" s="116"/>
      <c r="AE3266" s="116"/>
      <c r="AF3266" s="116"/>
      <c r="AG3266" s="116"/>
      <c r="AH3266" s="116"/>
      <c r="AI3266" s="116"/>
    </row>
    <row r="3267" spans="27:35" ht="18">
      <c r="AA3267" s="116"/>
      <c r="AB3267" s="87"/>
      <c r="AC3267" s="116"/>
      <c r="AD3267" s="116"/>
      <c r="AE3267" s="116"/>
      <c r="AF3267" s="116"/>
      <c r="AG3267" s="116"/>
      <c r="AH3267" s="116"/>
      <c r="AI3267" s="116"/>
    </row>
    <row r="3268" spans="27:35" ht="18">
      <c r="AA3268" s="116"/>
      <c r="AB3268" s="87"/>
      <c r="AC3268" s="116"/>
      <c r="AD3268" s="116"/>
      <c r="AE3268" s="116"/>
      <c r="AF3268" s="116"/>
      <c r="AG3268" s="116"/>
      <c r="AH3268" s="116"/>
      <c r="AI3268" s="116"/>
    </row>
    <row r="3269" spans="27:35" ht="18">
      <c r="AA3269" s="116"/>
      <c r="AB3269" s="87"/>
      <c r="AC3269" s="116"/>
      <c r="AD3269" s="116"/>
      <c r="AE3269" s="116"/>
      <c r="AF3269" s="116"/>
      <c r="AG3269" s="116"/>
      <c r="AH3269" s="116"/>
      <c r="AI3269" s="116"/>
    </row>
    <row r="3270" spans="27:35" ht="18">
      <c r="AA3270" s="116"/>
      <c r="AB3270" s="87"/>
      <c r="AC3270" s="116"/>
      <c r="AD3270" s="116"/>
      <c r="AE3270" s="116"/>
      <c r="AF3270" s="116"/>
      <c r="AG3270" s="116"/>
      <c r="AH3270" s="116"/>
      <c r="AI3270" s="116"/>
    </row>
    <row r="3271" spans="27:35" ht="18">
      <c r="AA3271" s="116"/>
      <c r="AB3271" s="87"/>
      <c r="AC3271" s="116"/>
      <c r="AD3271" s="116"/>
      <c r="AE3271" s="116"/>
      <c r="AF3271" s="116"/>
      <c r="AG3271" s="116"/>
      <c r="AH3271" s="116"/>
      <c r="AI3271" s="116"/>
    </row>
    <row r="3272" spans="27:35" ht="18">
      <c r="AA3272" s="116"/>
      <c r="AB3272" s="87"/>
      <c r="AC3272" s="116"/>
      <c r="AD3272" s="116"/>
      <c r="AE3272" s="116"/>
      <c r="AF3272" s="116"/>
      <c r="AG3272" s="116"/>
      <c r="AH3272" s="116"/>
      <c r="AI3272" s="116"/>
    </row>
    <row r="3273" spans="27:35" ht="18">
      <c r="AA3273" s="116"/>
      <c r="AB3273" s="87"/>
      <c r="AC3273" s="116"/>
      <c r="AD3273" s="116"/>
      <c r="AE3273" s="116"/>
      <c r="AF3273" s="116"/>
      <c r="AG3273" s="116"/>
      <c r="AH3273" s="116"/>
      <c r="AI3273" s="116"/>
    </row>
    <row r="3274" spans="27:35" ht="18">
      <c r="AA3274" s="116"/>
      <c r="AB3274" s="87"/>
      <c r="AC3274" s="116"/>
      <c r="AD3274" s="116"/>
      <c r="AE3274" s="116"/>
      <c r="AF3274" s="116"/>
      <c r="AG3274" s="116"/>
      <c r="AH3274" s="116"/>
      <c r="AI3274" s="116"/>
    </row>
    <row r="3275" spans="27:35" ht="18">
      <c r="AA3275" s="116"/>
      <c r="AB3275" s="87"/>
      <c r="AC3275" s="116"/>
      <c r="AD3275" s="116"/>
      <c r="AE3275" s="116"/>
      <c r="AF3275" s="116"/>
      <c r="AG3275" s="116"/>
      <c r="AH3275" s="116"/>
      <c r="AI3275" s="116"/>
    </row>
    <row r="3276" spans="27:35" ht="18">
      <c r="AA3276" s="116"/>
      <c r="AB3276" s="87"/>
      <c r="AC3276" s="116"/>
      <c r="AD3276" s="116"/>
      <c r="AE3276" s="116"/>
      <c r="AF3276" s="116"/>
      <c r="AG3276" s="116"/>
      <c r="AH3276" s="116"/>
      <c r="AI3276" s="116"/>
    </row>
    <row r="3277" spans="27:35" ht="18">
      <c r="AA3277" s="116"/>
      <c r="AB3277" s="87"/>
      <c r="AC3277" s="116"/>
      <c r="AD3277" s="116"/>
      <c r="AE3277" s="116"/>
      <c r="AF3277" s="116"/>
      <c r="AG3277" s="116"/>
      <c r="AH3277" s="116"/>
      <c r="AI3277" s="116"/>
    </row>
    <row r="3278" spans="27:35" ht="18">
      <c r="AA3278" s="116"/>
      <c r="AB3278" s="184"/>
      <c r="AC3278" s="116"/>
      <c r="AD3278" s="116"/>
      <c r="AE3278" s="116"/>
      <c r="AF3278" s="116"/>
      <c r="AG3278" s="116"/>
      <c r="AH3278" s="116"/>
      <c r="AI3278" s="116"/>
    </row>
    <row r="3279" spans="27:35" ht="18">
      <c r="AA3279" s="116"/>
      <c r="AB3279" s="184"/>
      <c r="AC3279" s="116"/>
      <c r="AD3279" s="116"/>
      <c r="AE3279" s="116"/>
      <c r="AF3279" s="116"/>
      <c r="AG3279" s="116"/>
      <c r="AH3279" s="116"/>
      <c r="AI3279" s="116"/>
    </row>
    <row r="3280" spans="27:35" ht="18">
      <c r="AA3280" s="116"/>
      <c r="AB3280" s="87"/>
      <c r="AC3280" s="116"/>
      <c r="AD3280" s="116"/>
      <c r="AE3280" s="116"/>
      <c r="AF3280" s="116"/>
      <c r="AG3280" s="116"/>
      <c r="AH3280" s="116"/>
      <c r="AI3280" s="116"/>
    </row>
    <row r="3281" spans="27:35" ht="18">
      <c r="AA3281" s="116"/>
      <c r="AB3281" s="87"/>
      <c r="AC3281" s="116"/>
      <c r="AD3281" s="116"/>
      <c r="AE3281" s="116"/>
      <c r="AF3281" s="116"/>
      <c r="AG3281" s="116"/>
      <c r="AH3281" s="116"/>
      <c r="AI3281" s="116"/>
    </row>
    <row r="3282" spans="27:35" ht="18">
      <c r="AA3282" s="116"/>
      <c r="AB3282" s="87"/>
      <c r="AC3282" s="116"/>
      <c r="AD3282" s="116"/>
      <c r="AE3282" s="116"/>
      <c r="AF3282" s="116"/>
      <c r="AG3282" s="116"/>
      <c r="AH3282" s="116"/>
      <c r="AI3282" s="116"/>
    </row>
    <row r="3283" spans="27:35" ht="18">
      <c r="AA3283" s="116"/>
      <c r="AB3283" s="87"/>
      <c r="AC3283" s="116"/>
      <c r="AD3283" s="116"/>
      <c r="AE3283" s="116"/>
      <c r="AF3283" s="116"/>
      <c r="AG3283" s="116"/>
      <c r="AH3283" s="116"/>
      <c r="AI3283" s="116"/>
    </row>
    <row r="3284" spans="27:35" ht="18">
      <c r="AA3284" s="116"/>
      <c r="AB3284" s="87"/>
      <c r="AC3284" s="116"/>
      <c r="AD3284" s="116"/>
      <c r="AE3284" s="116"/>
      <c r="AF3284" s="116"/>
      <c r="AG3284" s="116"/>
      <c r="AH3284" s="116"/>
      <c r="AI3284" s="116"/>
    </row>
    <row r="3285" spans="27:35" ht="18">
      <c r="AA3285" s="116"/>
      <c r="AB3285" s="87"/>
      <c r="AC3285" s="116"/>
      <c r="AD3285" s="116"/>
      <c r="AE3285" s="116"/>
      <c r="AF3285" s="116"/>
      <c r="AG3285" s="116"/>
      <c r="AH3285" s="116"/>
      <c r="AI3285" s="116"/>
    </row>
    <row r="3286" spans="27:35" ht="18">
      <c r="AA3286" s="116"/>
      <c r="AB3286" s="87"/>
      <c r="AC3286" s="116"/>
      <c r="AD3286" s="116"/>
      <c r="AE3286" s="116"/>
      <c r="AF3286" s="116"/>
      <c r="AG3286" s="116"/>
      <c r="AH3286" s="116"/>
      <c r="AI3286" s="116"/>
    </row>
    <row r="3287" spans="27:35" ht="18">
      <c r="AA3287" s="116"/>
      <c r="AB3287" s="87"/>
      <c r="AC3287" s="116"/>
      <c r="AD3287" s="116"/>
      <c r="AE3287" s="116"/>
      <c r="AF3287" s="116"/>
      <c r="AG3287" s="116"/>
      <c r="AH3287" s="116"/>
      <c r="AI3287" s="116"/>
    </row>
    <row r="3288" spans="27:35" ht="18">
      <c r="AA3288" s="116"/>
      <c r="AB3288" s="87"/>
      <c r="AC3288" s="116"/>
      <c r="AD3288" s="116"/>
      <c r="AE3288" s="116"/>
      <c r="AF3288" s="116"/>
      <c r="AG3288" s="116"/>
      <c r="AH3288" s="116"/>
      <c r="AI3288" s="116"/>
    </row>
    <row r="3289" spans="27:35" ht="18">
      <c r="AA3289" s="116"/>
      <c r="AB3289" s="87"/>
      <c r="AC3289" s="116"/>
      <c r="AD3289" s="116"/>
      <c r="AE3289" s="116"/>
      <c r="AF3289" s="116"/>
      <c r="AG3289" s="116"/>
      <c r="AH3289" s="116"/>
      <c r="AI3289" s="116"/>
    </row>
    <row r="3290" spans="27:35" ht="18">
      <c r="AA3290" s="116"/>
      <c r="AB3290" s="87"/>
      <c r="AC3290" s="116"/>
      <c r="AD3290" s="116"/>
      <c r="AE3290" s="116"/>
      <c r="AF3290" s="116"/>
      <c r="AG3290" s="116"/>
      <c r="AH3290" s="116"/>
      <c r="AI3290" s="116"/>
    </row>
    <row r="3291" spans="27:35" ht="18">
      <c r="AA3291" s="116"/>
      <c r="AB3291" s="87"/>
      <c r="AC3291" s="116"/>
      <c r="AD3291" s="116"/>
      <c r="AE3291" s="116"/>
      <c r="AF3291" s="116"/>
      <c r="AG3291" s="116"/>
      <c r="AH3291" s="116"/>
      <c r="AI3291" s="116"/>
    </row>
    <row r="3292" spans="27:35" ht="18">
      <c r="AA3292" s="116"/>
      <c r="AB3292" s="87"/>
      <c r="AC3292" s="116"/>
      <c r="AD3292" s="116"/>
      <c r="AE3292" s="116"/>
      <c r="AF3292" s="116"/>
      <c r="AG3292" s="116"/>
      <c r="AH3292" s="116"/>
      <c r="AI3292" s="116"/>
    </row>
    <row r="3293" spans="27:35" ht="18">
      <c r="AA3293" s="116"/>
      <c r="AB3293" s="87"/>
      <c r="AC3293" s="116"/>
      <c r="AD3293" s="116"/>
      <c r="AE3293" s="116"/>
      <c r="AF3293" s="116"/>
      <c r="AG3293" s="116"/>
      <c r="AH3293" s="116"/>
      <c r="AI3293" s="116"/>
    </row>
    <row r="3294" spans="27:35" ht="18">
      <c r="AA3294" s="116"/>
      <c r="AB3294" s="87"/>
      <c r="AC3294" s="116"/>
      <c r="AD3294" s="116"/>
      <c r="AE3294" s="116"/>
      <c r="AF3294" s="116"/>
      <c r="AG3294" s="116"/>
      <c r="AH3294" s="116"/>
      <c r="AI3294" s="116"/>
    </row>
    <row r="3295" spans="27:35" ht="18">
      <c r="AA3295" s="116"/>
      <c r="AB3295" s="87"/>
      <c r="AC3295" s="116"/>
      <c r="AD3295" s="116"/>
      <c r="AE3295" s="116"/>
      <c r="AF3295" s="116"/>
      <c r="AG3295" s="116"/>
      <c r="AH3295" s="116"/>
      <c r="AI3295" s="116"/>
    </row>
    <row r="3296" spans="27:35" ht="18">
      <c r="AA3296" s="116"/>
      <c r="AB3296" s="87"/>
      <c r="AC3296" s="116"/>
      <c r="AD3296" s="116"/>
      <c r="AE3296" s="116"/>
      <c r="AF3296" s="116"/>
      <c r="AG3296" s="116"/>
      <c r="AH3296" s="116"/>
      <c r="AI3296" s="116"/>
    </row>
    <row r="3297" spans="27:35" ht="18">
      <c r="AA3297" s="116"/>
      <c r="AB3297" s="87"/>
      <c r="AC3297" s="116"/>
      <c r="AD3297" s="116"/>
      <c r="AE3297" s="116"/>
      <c r="AF3297" s="116"/>
      <c r="AG3297" s="116"/>
      <c r="AH3297" s="116"/>
      <c r="AI3297" s="116"/>
    </row>
    <row r="3298" spans="27:35" ht="18">
      <c r="AA3298" s="116"/>
      <c r="AB3298" s="184"/>
      <c r="AC3298" s="116"/>
      <c r="AD3298" s="116"/>
      <c r="AE3298" s="116"/>
      <c r="AF3298" s="116"/>
      <c r="AG3298" s="116"/>
      <c r="AH3298" s="116"/>
      <c r="AI3298" s="116"/>
    </row>
    <row r="3299" spans="27:35" ht="18">
      <c r="AA3299" s="116"/>
      <c r="AB3299" s="87"/>
      <c r="AC3299" s="116"/>
      <c r="AD3299" s="116"/>
      <c r="AE3299" s="116"/>
      <c r="AF3299" s="116"/>
      <c r="AG3299" s="116"/>
      <c r="AH3299" s="116"/>
      <c r="AI3299" s="116"/>
    </row>
    <row r="3300" spans="27:35" ht="18">
      <c r="AA3300" s="116"/>
      <c r="AB3300" s="87"/>
      <c r="AC3300" s="116"/>
      <c r="AD3300" s="116"/>
      <c r="AE3300" s="116"/>
      <c r="AF3300" s="116"/>
      <c r="AG3300" s="116"/>
      <c r="AH3300" s="116"/>
      <c r="AI3300" s="116"/>
    </row>
    <row r="3301" spans="27:35" ht="18">
      <c r="AA3301" s="116"/>
      <c r="AB3301" s="87"/>
      <c r="AC3301" s="116"/>
      <c r="AD3301" s="116"/>
      <c r="AE3301" s="116"/>
      <c r="AF3301" s="116"/>
      <c r="AG3301" s="116"/>
      <c r="AH3301" s="116"/>
      <c r="AI3301" s="116"/>
    </row>
    <row r="3302" spans="27:35" ht="18">
      <c r="AA3302" s="116"/>
      <c r="AB3302" s="87"/>
      <c r="AC3302" s="116"/>
      <c r="AD3302" s="116"/>
      <c r="AE3302" s="116"/>
      <c r="AF3302" s="116"/>
      <c r="AG3302" s="116"/>
      <c r="AH3302" s="116"/>
      <c r="AI3302" s="116"/>
    </row>
    <row r="3303" spans="27:35" ht="18">
      <c r="AA3303" s="116"/>
      <c r="AB3303" s="87"/>
      <c r="AC3303" s="116"/>
      <c r="AD3303" s="116"/>
      <c r="AE3303" s="116"/>
      <c r="AF3303" s="116"/>
      <c r="AG3303" s="116"/>
      <c r="AH3303" s="116"/>
      <c r="AI3303" s="116"/>
    </row>
    <row r="3304" spans="27:35" ht="18">
      <c r="AA3304" s="116"/>
      <c r="AB3304" s="87"/>
      <c r="AC3304" s="116"/>
      <c r="AD3304" s="116"/>
      <c r="AE3304" s="116"/>
      <c r="AF3304" s="116"/>
      <c r="AG3304" s="116"/>
      <c r="AH3304" s="116"/>
      <c r="AI3304" s="116"/>
    </row>
    <row r="3305" spans="27:35" ht="18">
      <c r="AA3305" s="116"/>
      <c r="AB3305" s="87"/>
      <c r="AC3305" s="116"/>
      <c r="AD3305" s="116"/>
      <c r="AE3305" s="116"/>
      <c r="AF3305" s="116"/>
      <c r="AG3305" s="116"/>
      <c r="AH3305" s="116"/>
      <c r="AI3305" s="116"/>
    </row>
    <row r="3306" spans="27:35" ht="18">
      <c r="AA3306" s="116"/>
      <c r="AB3306" s="87"/>
      <c r="AC3306" s="116"/>
      <c r="AD3306" s="116"/>
      <c r="AE3306" s="116"/>
      <c r="AF3306" s="116"/>
      <c r="AG3306" s="116"/>
      <c r="AH3306" s="116"/>
      <c r="AI3306" s="116"/>
    </row>
    <row r="3307" spans="27:35" ht="18">
      <c r="AA3307" s="116"/>
      <c r="AB3307" s="87"/>
      <c r="AC3307" s="116"/>
      <c r="AD3307" s="116"/>
      <c r="AE3307" s="116"/>
      <c r="AF3307" s="116"/>
      <c r="AG3307" s="116"/>
      <c r="AH3307" s="116"/>
      <c r="AI3307" s="116"/>
    </row>
    <row r="3308" spans="27:35" ht="18">
      <c r="AA3308" s="116"/>
      <c r="AB3308" s="87"/>
      <c r="AC3308" s="116"/>
      <c r="AD3308" s="116"/>
      <c r="AE3308" s="116"/>
      <c r="AF3308" s="116"/>
      <c r="AG3308" s="116"/>
      <c r="AH3308" s="116"/>
      <c r="AI3308" s="116"/>
    </row>
    <row r="3309" spans="27:35" ht="18">
      <c r="AA3309" s="116"/>
      <c r="AB3309" s="184"/>
      <c r="AC3309" s="116"/>
      <c r="AD3309" s="116"/>
      <c r="AE3309" s="116"/>
      <c r="AF3309" s="116"/>
      <c r="AG3309" s="116"/>
      <c r="AH3309" s="116"/>
      <c r="AI3309" s="116"/>
    </row>
    <row r="3310" spans="27:35" ht="18">
      <c r="AA3310" s="116"/>
      <c r="AB3310" s="184"/>
      <c r="AC3310" s="116"/>
      <c r="AD3310" s="116"/>
      <c r="AE3310" s="116"/>
      <c r="AF3310" s="116"/>
      <c r="AG3310" s="116"/>
      <c r="AH3310" s="116"/>
      <c r="AI3310" s="116"/>
    </row>
    <row r="3311" spans="27:35" ht="18">
      <c r="AA3311" s="116"/>
      <c r="AB3311" s="87"/>
      <c r="AC3311" s="116"/>
      <c r="AD3311" s="116"/>
      <c r="AE3311" s="116"/>
      <c r="AF3311" s="116"/>
      <c r="AG3311" s="116"/>
      <c r="AH3311" s="116"/>
      <c r="AI3311" s="116"/>
    </row>
    <row r="3312" spans="27:35" ht="18">
      <c r="AA3312" s="116"/>
      <c r="AB3312" s="87"/>
      <c r="AC3312" s="116"/>
      <c r="AD3312" s="116"/>
      <c r="AE3312" s="116"/>
      <c r="AF3312" s="116"/>
      <c r="AG3312" s="116"/>
      <c r="AH3312" s="116"/>
      <c r="AI3312" s="116"/>
    </row>
    <row r="3313" spans="27:35" ht="18">
      <c r="AA3313" s="116"/>
      <c r="AB3313" s="87"/>
      <c r="AC3313" s="116"/>
      <c r="AD3313" s="116"/>
      <c r="AE3313" s="116"/>
      <c r="AF3313" s="116"/>
      <c r="AG3313" s="116"/>
      <c r="AH3313" s="116"/>
      <c r="AI3313" s="116"/>
    </row>
    <row r="3314" spans="27:35" ht="18">
      <c r="AA3314" s="116"/>
      <c r="AB3314" s="184"/>
      <c r="AC3314" s="116"/>
      <c r="AD3314" s="116"/>
      <c r="AE3314" s="116"/>
      <c r="AF3314" s="116"/>
      <c r="AG3314" s="116"/>
      <c r="AH3314" s="116"/>
      <c r="AI3314" s="116"/>
    </row>
    <row r="3315" spans="27:35" ht="18">
      <c r="AA3315" s="116"/>
      <c r="AB3315" s="87"/>
      <c r="AC3315" s="116"/>
      <c r="AD3315" s="116"/>
      <c r="AE3315" s="116"/>
      <c r="AF3315" s="116"/>
      <c r="AG3315" s="116"/>
      <c r="AH3315" s="116"/>
      <c r="AI3315" s="116"/>
    </row>
    <row r="3316" spans="27:35" ht="18">
      <c r="AA3316" s="116"/>
      <c r="AB3316" s="87"/>
      <c r="AC3316" s="116"/>
      <c r="AD3316" s="116"/>
      <c r="AE3316" s="116"/>
      <c r="AF3316" s="116"/>
      <c r="AG3316" s="116"/>
      <c r="AH3316" s="116"/>
      <c r="AI3316" s="116"/>
    </row>
    <row r="3317" spans="27:35" ht="18">
      <c r="AA3317" s="116"/>
      <c r="AB3317" s="87"/>
      <c r="AC3317" s="116"/>
      <c r="AD3317" s="116"/>
      <c r="AE3317" s="116"/>
      <c r="AF3317" s="116"/>
      <c r="AG3317" s="116"/>
      <c r="AH3317" s="116"/>
      <c r="AI3317" s="116"/>
    </row>
    <row r="3318" spans="27:35" ht="18">
      <c r="AA3318" s="116"/>
      <c r="AB3318" s="87"/>
      <c r="AC3318" s="116"/>
      <c r="AD3318" s="116"/>
      <c r="AE3318" s="116"/>
      <c r="AF3318" s="116"/>
      <c r="AG3318" s="116"/>
      <c r="AH3318" s="116"/>
      <c r="AI3318" s="116"/>
    </row>
    <row r="3319" spans="27:35" ht="18">
      <c r="AA3319" s="116"/>
      <c r="AB3319" s="87"/>
      <c r="AC3319" s="116"/>
      <c r="AD3319" s="116"/>
      <c r="AE3319" s="116"/>
      <c r="AF3319" s="116"/>
      <c r="AG3319" s="116"/>
      <c r="AH3319" s="116"/>
      <c r="AI3319" s="116"/>
    </row>
    <row r="3320" spans="27:35" ht="18">
      <c r="AA3320" s="116"/>
      <c r="AB3320" s="87"/>
      <c r="AC3320" s="116"/>
      <c r="AD3320" s="116"/>
      <c r="AE3320" s="116"/>
      <c r="AF3320" s="116"/>
      <c r="AG3320" s="116"/>
      <c r="AH3320" s="116"/>
      <c r="AI3320" s="116"/>
    </row>
    <row r="3321" spans="27:35" ht="18">
      <c r="AA3321" s="116"/>
      <c r="AB3321" s="87"/>
      <c r="AC3321" s="116"/>
      <c r="AD3321" s="116"/>
      <c r="AE3321" s="116"/>
      <c r="AF3321" s="116"/>
      <c r="AG3321" s="116"/>
      <c r="AH3321" s="116"/>
      <c r="AI3321" s="116"/>
    </row>
    <row r="3322" spans="27:35" ht="18">
      <c r="AA3322" s="116"/>
      <c r="AB3322" s="184"/>
      <c r="AC3322" s="116"/>
      <c r="AD3322" s="116"/>
      <c r="AE3322" s="116"/>
      <c r="AF3322" s="116"/>
      <c r="AG3322" s="116"/>
      <c r="AH3322" s="116"/>
      <c r="AI3322" s="116"/>
    </row>
    <row r="3323" spans="27:35" ht="18">
      <c r="AA3323" s="116"/>
      <c r="AB3323" s="87"/>
      <c r="AC3323" s="116"/>
      <c r="AD3323" s="116"/>
      <c r="AE3323" s="116"/>
      <c r="AF3323" s="116"/>
      <c r="AG3323" s="116"/>
      <c r="AH3323" s="116"/>
      <c r="AI3323" s="116"/>
    </row>
    <row r="3324" spans="27:35" ht="18">
      <c r="AA3324" s="116"/>
      <c r="AB3324" s="87"/>
      <c r="AC3324" s="116"/>
      <c r="AD3324" s="116"/>
      <c r="AE3324" s="116"/>
      <c r="AF3324" s="116"/>
      <c r="AG3324" s="116"/>
      <c r="AH3324" s="116"/>
      <c r="AI3324" s="116"/>
    </row>
    <row r="3325" spans="27:35" ht="18">
      <c r="AA3325" s="116"/>
      <c r="AB3325" s="184"/>
      <c r="AC3325" s="116"/>
      <c r="AD3325" s="116"/>
      <c r="AE3325" s="116"/>
      <c r="AF3325" s="116"/>
      <c r="AG3325" s="116"/>
      <c r="AH3325" s="116"/>
      <c r="AI3325" s="116"/>
    </row>
    <row r="3326" spans="27:35" ht="18">
      <c r="AA3326" s="116"/>
      <c r="AB3326" s="87"/>
      <c r="AC3326" s="116"/>
      <c r="AD3326" s="116"/>
      <c r="AE3326" s="116"/>
      <c r="AF3326" s="116"/>
      <c r="AG3326" s="116"/>
      <c r="AH3326" s="116"/>
      <c r="AI3326" s="116"/>
    </row>
    <row r="3327" spans="27:35" ht="18">
      <c r="AA3327" s="116"/>
      <c r="AB3327" s="87"/>
      <c r="AC3327" s="116"/>
      <c r="AD3327" s="116"/>
      <c r="AE3327" s="116"/>
      <c r="AF3327" s="116"/>
      <c r="AG3327" s="116"/>
      <c r="AH3327" s="116"/>
      <c r="AI3327" s="116"/>
    </row>
    <row r="3328" spans="27:35" ht="18">
      <c r="AA3328" s="116"/>
      <c r="AB3328" s="87"/>
      <c r="AC3328" s="116"/>
      <c r="AD3328" s="116"/>
      <c r="AE3328" s="116"/>
      <c r="AF3328" s="116"/>
      <c r="AG3328" s="116"/>
      <c r="AH3328" s="116"/>
      <c r="AI3328" s="116"/>
    </row>
    <row r="3329" spans="27:35" ht="18">
      <c r="AA3329" s="116"/>
      <c r="AB3329" s="87"/>
      <c r="AC3329" s="116"/>
      <c r="AD3329" s="116"/>
      <c r="AE3329" s="116"/>
      <c r="AF3329" s="116"/>
      <c r="AG3329" s="116"/>
      <c r="AH3329" s="116"/>
      <c r="AI3329" s="116"/>
    </row>
    <row r="3330" spans="27:35" ht="18">
      <c r="AA3330" s="116"/>
      <c r="AB3330" s="87"/>
      <c r="AC3330" s="116"/>
      <c r="AD3330" s="116"/>
      <c r="AE3330" s="116"/>
      <c r="AF3330" s="116"/>
      <c r="AG3330" s="116"/>
      <c r="AH3330" s="116"/>
      <c r="AI3330" s="116"/>
    </row>
    <row r="3331" spans="27:35" ht="18">
      <c r="AA3331" s="116"/>
      <c r="AB3331" s="87"/>
      <c r="AC3331" s="116"/>
      <c r="AD3331" s="116"/>
      <c r="AE3331" s="116"/>
      <c r="AF3331" s="116"/>
      <c r="AG3331" s="116"/>
      <c r="AH3331" s="116"/>
      <c r="AI3331" s="116"/>
    </row>
    <row r="3332" spans="27:35" ht="18">
      <c r="AA3332" s="116"/>
      <c r="AB3332" s="87"/>
      <c r="AC3332" s="116"/>
      <c r="AD3332" s="116"/>
      <c r="AE3332" s="116"/>
      <c r="AF3332" s="116"/>
      <c r="AG3332" s="116"/>
      <c r="AH3332" s="116"/>
      <c r="AI3332" s="116"/>
    </row>
    <row r="3333" spans="27:35" ht="18">
      <c r="AA3333" s="116"/>
      <c r="AB3333" s="87"/>
      <c r="AC3333" s="116"/>
      <c r="AD3333" s="116"/>
      <c r="AE3333" s="116"/>
      <c r="AF3333" s="116"/>
      <c r="AG3333" s="116"/>
      <c r="AH3333" s="116"/>
      <c r="AI3333" s="116"/>
    </row>
    <row r="3334" spans="27:35" ht="18">
      <c r="AA3334" s="116"/>
      <c r="AB3334" s="87"/>
      <c r="AC3334" s="116"/>
      <c r="AD3334" s="116"/>
      <c r="AE3334" s="116"/>
      <c r="AF3334" s="116"/>
      <c r="AG3334" s="116"/>
      <c r="AH3334" s="116"/>
      <c r="AI3334" s="116"/>
    </row>
    <row r="3335" spans="27:35" ht="18">
      <c r="AA3335" s="116"/>
      <c r="AB3335" s="87"/>
      <c r="AC3335" s="116"/>
      <c r="AD3335" s="116"/>
      <c r="AE3335" s="116"/>
      <c r="AF3335" s="116"/>
      <c r="AG3335" s="116"/>
      <c r="AH3335" s="116"/>
      <c r="AI3335" s="116"/>
    </row>
    <row r="3336" spans="27:35" ht="18">
      <c r="AA3336" s="116"/>
      <c r="AB3336" s="87"/>
      <c r="AC3336" s="116"/>
      <c r="AD3336" s="116"/>
      <c r="AE3336" s="116"/>
      <c r="AF3336" s="116"/>
      <c r="AG3336" s="116"/>
      <c r="AH3336" s="116"/>
      <c r="AI3336" s="116"/>
    </row>
    <row r="3337" spans="27:35" ht="18">
      <c r="AA3337" s="116"/>
      <c r="AB3337" s="87"/>
      <c r="AC3337" s="116"/>
      <c r="AD3337" s="116"/>
      <c r="AE3337" s="116"/>
      <c r="AF3337" s="116"/>
      <c r="AG3337" s="116"/>
      <c r="AH3337" s="116"/>
      <c r="AI3337" s="116"/>
    </row>
    <row r="3338" spans="27:35" ht="18">
      <c r="AA3338" s="116"/>
      <c r="AB3338" s="87"/>
      <c r="AC3338" s="116"/>
      <c r="AD3338" s="116"/>
      <c r="AE3338" s="116"/>
      <c r="AF3338" s="116"/>
      <c r="AG3338" s="116"/>
      <c r="AH3338" s="116"/>
      <c r="AI3338" s="116"/>
    </row>
    <row r="3339" spans="27:35" ht="18">
      <c r="AA3339" s="116"/>
      <c r="AB3339" s="87"/>
      <c r="AC3339" s="116"/>
      <c r="AD3339" s="116"/>
      <c r="AE3339" s="116"/>
      <c r="AF3339" s="116"/>
      <c r="AG3339" s="116"/>
      <c r="AH3339" s="116"/>
      <c r="AI3339" s="116"/>
    </row>
    <row r="3340" spans="27:35" ht="18">
      <c r="AA3340" s="116"/>
      <c r="AB3340" s="87"/>
      <c r="AC3340" s="116"/>
      <c r="AD3340" s="116"/>
      <c r="AE3340" s="116"/>
      <c r="AF3340" s="116"/>
      <c r="AG3340" s="116"/>
      <c r="AH3340" s="116"/>
      <c r="AI3340" s="116"/>
    </row>
    <row r="3341" spans="27:35" ht="18">
      <c r="AA3341" s="116"/>
      <c r="AB3341" s="87"/>
      <c r="AC3341" s="116"/>
      <c r="AD3341" s="116"/>
      <c r="AE3341" s="116"/>
      <c r="AF3341" s="116"/>
      <c r="AG3341" s="116"/>
      <c r="AH3341" s="116"/>
      <c r="AI3341" s="116"/>
    </row>
    <row r="3342" spans="27:35" ht="18">
      <c r="AA3342" s="116"/>
      <c r="AB3342" s="87"/>
      <c r="AC3342" s="116"/>
      <c r="AD3342" s="116"/>
      <c r="AE3342" s="116"/>
      <c r="AF3342" s="116"/>
      <c r="AG3342" s="116"/>
      <c r="AH3342" s="116"/>
      <c r="AI3342" s="116"/>
    </row>
    <row r="3343" spans="27:35" ht="18">
      <c r="AA3343" s="116"/>
      <c r="AB3343" s="87"/>
      <c r="AC3343" s="116"/>
      <c r="AD3343" s="116"/>
      <c r="AE3343" s="116"/>
      <c r="AF3343" s="116"/>
      <c r="AG3343" s="116"/>
      <c r="AH3343" s="116"/>
      <c r="AI3343" s="116"/>
    </row>
    <row r="3344" spans="27:35" ht="18">
      <c r="AA3344" s="116"/>
      <c r="AB3344" s="87"/>
      <c r="AC3344" s="116"/>
      <c r="AD3344" s="116"/>
      <c r="AE3344" s="116"/>
      <c r="AF3344" s="116"/>
      <c r="AG3344" s="116"/>
      <c r="AH3344" s="116"/>
      <c r="AI3344" s="116"/>
    </row>
    <row r="3345" spans="27:35" ht="18">
      <c r="AA3345" s="116"/>
      <c r="AB3345" s="87"/>
      <c r="AC3345" s="116"/>
      <c r="AD3345" s="116"/>
      <c r="AE3345" s="116"/>
      <c r="AF3345" s="116"/>
      <c r="AG3345" s="116"/>
      <c r="AH3345" s="116"/>
      <c r="AI3345" s="116"/>
    </row>
    <row r="3346" spans="27:35" ht="18">
      <c r="AA3346" s="116"/>
      <c r="AB3346" s="87"/>
      <c r="AC3346" s="116"/>
      <c r="AD3346" s="116"/>
      <c r="AE3346" s="116"/>
      <c r="AF3346" s="116"/>
      <c r="AG3346" s="116"/>
      <c r="AH3346" s="116"/>
      <c r="AI3346" s="116"/>
    </row>
    <row r="3347" spans="27:35" ht="18">
      <c r="AA3347" s="116"/>
      <c r="AB3347" s="87"/>
      <c r="AC3347" s="116"/>
      <c r="AD3347" s="116"/>
      <c r="AE3347" s="116"/>
      <c r="AF3347" s="116"/>
      <c r="AG3347" s="116"/>
      <c r="AH3347" s="116"/>
      <c r="AI3347" s="116"/>
    </row>
    <row r="3348" spans="27:35" ht="18">
      <c r="AA3348" s="116"/>
      <c r="AB3348" s="87"/>
      <c r="AC3348" s="116"/>
      <c r="AD3348" s="116"/>
      <c r="AE3348" s="116"/>
      <c r="AF3348" s="116"/>
      <c r="AG3348" s="116"/>
      <c r="AH3348" s="116"/>
      <c r="AI3348" s="116"/>
    </row>
    <row r="3349" spans="27:35" ht="18">
      <c r="AA3349" s="116"/>
      <c r="AB3349" s="87"/>
      <c r="AC3349" s="116"/>
      <c r="AD3349" s="116"/>
      <c r="AE3349" s="116"/>
      <c r="AF3349" s="116"/>
      <c r="AG3349" s="116"/>
      <c r="AH3349" s="116"/>
      <c r="AI3349" s="116"/>
    </row>
    <row r="3350" spans="27:35" ht="18">
      <c r="AA3350" s="116"/>
      <c r="AB3350" s="87"/>
      <c r="AC3350" s="116"/>
      <c r="AD3350" s="116"/>
      <c r="AE3350" s="116"/>
      <c r="AF3350" s="116"/>
      <c r="AG3350" s="116"/>
      <c r="AH3350" s="116"/>
      <c r="AI3350" s="116"/>
    </row>
    <row r="3351" spans="27:35" ht="18">
      <c r="AA3351" s="116"/>
      <c r="AB3351" s="87"/>
      <c r="AC3351" s="116"/>
      <c r="AD3351" s="116"/>
      <c r="AE3351" s="116"/>
      <c r="AF3351" s="116"/>
      <c r="AG3351" s="116"/>
      <c r="AH3351" s="116"/>
      <c r="AI3351" s="116"/>
    </row>
    <row r="3352" spans="27:35" ht="18">
      <c r="AA3352" s="116"/>
      <c r="AB3352" s="87"/>
      <c r="AC3352" s="116"/>
      <c r="AD3352" s="116"/>
      <c r="AE3352" s="116"/>
      <c r="AF3352" s="116"/>
      <c r="AG3352" s="116"/>
      <c r="AH3352" s="116"/>
      <c r="AI3352" s="116"/>
    </row>
    <row r="3353" spans="27:35" ht="18">
      <c r="AA3353" s="116"/>
      <c r="AB3353" s="184"/>
      <c r="AC3353" s="116"/>
      <c r="AD3353" s="116"/>
      <c r="AE3353" s="116"/>
      <c r="AF3353" s="116"/>
      <c r="AG3353" s="116"/>
      <c r="AH3353" s="116"/>
      <c r="AI3353" s="116"/>
    </row>
    <row r="3354" spans="27:35" ht="18">
      <c r="AA3354" s="116"/>
      <c r="AB3354" s="184"/>
      <c r="AC3354" s="116"/>
      <c r="AD3354" s="116"/>
      <c r="AE3354" s="116"/>
      <c r="AF3354" s="116"/>
      <c r="AG3354" s="116"/>
      <c r="AH3354" s="116"/>
      <c r="AI3354" s="116"/>
    </row>
    <row r="3355" spans="27:35" ht="18">
      <c r="AA3355" s="116"/>
      <c r="AB3355" s="87"/>
      <c r="AC3355" s="116"/>
      <c r="AD3355" s="116"/>
      <c r="AE3355" s="116"/>
      <c r="AF3355" s="116"/>
      <c r="AG3355" s="116"/>
      <c r="AH3355" s="116"/>
      <c r="AI3355" s="116"/>
    </row>
    <row r="3356" spans="27:35" ht="18">
      <c r="AA3356" s="116"/>
      <c r="AB3356" s="87"/>
      <c r="AC3356" s="116"/>
      <c r="AD3356" s="116"/>
      <c r="AE3356" s="116"/>
      <c r="AF3356" s="116"/>
      <c r="AG3356" s="116"/>
      <c r="AH3356" s="116"/>
      <c r="AI3356" s="116"/>
    </row>
    <row r="3357" spans="27:35" ht="18">
      <c r="AA3357" s="116"/>
      <c r="AB3357" s="87"/>
      <c r="AC3357" s="116"/>
      <c r="AD3357" s="116"/>
      <c r="AE3357" s="116"/>
      <c r="AF3357" s="116"/>
      <c r="AG3357" s="116"/>
      <c r="AH3357" s="116"/>
      <c r="AI3357" s="116"/>
    </row>
    <row r="3358" spans="27:35" ht="18">
      <c r="AA3358" s="116"/>
      <c r="AB3358" s="87"/>
      <c r="AC3358" s="116"/>
      <c r="AD3358" s="116"/>
      <c r="AE3358" s="116"/>
      <c r="AF3358" s="116"/>
      <c r="AG3358" s="116"/>
      <c r="AH3358" s="116"/>
      <c r="AI3358" s="116"/>
    </row>
    <row r="3359" spans="27:35" ht="18">
      <c r="AA3359" s="116"/>
      <c r="AB3359" s="87"/>
      <c r="AC3359" s="116"/>
      <c r="AD3359" s="116"/>
      <c r="AE3359" s="116"/>
      <c r="AF3359" s="116"/>
      <c r="AG3359" s="116"/>
      <c r="AH3359" s="116"/>
      <c r="AI3359" s="116"/>
    </row>
    <row r="3360" spans="27:35" ht="18">
      <c r="AA3360" s="116"/>
      <c r="AB3360" s="87"/>
      <c r="AC3360" s="116"/>
      <c r="AD3360" s="116"/>
      <c r="AE3360" s="116"/>
      <c r="AF3360" s="116"/>
      <c r="AG3360" s="116"/>
      <c r="AH3360" s="116"/>
      <c r="AI3360" s="116"/>
    </row>
    <row r="3361" spans="27:35" ht="18">
      <c r="AA3361" s="116"/>
      <c r="AB3361" s="87"/>
      <c r="AC3361" s="116"/>
      <c r="AD3361" s="116"/>
      <c r="AE3361" s="116"/>
      <c r="AF3361" s="116"/>
      <c r="AG3361" s="116"/>
      <c r="AH3361" s="116"/>
      <c r="AI3361" s="116"/>
    </row>
    <row r="3362" spans="27:35" ht="18">
      <c r="AA3362" s="116"/>
      <c r="AB3362" s="87"/>
      <c r="AC3362" s="116"/>
      <c r="AD3362" s="116"/>
      <c r="AE3362" s="116"/>
      <c r="AF3362" s="116"/>
      <c r="AG3362" s="116"/>
      <c r="AH3362" s="116"/>
      <c r="AI3362" s="116"/>
    </row>
    <row r="3363" spans="27:35" ht="18">
      <c r="AA3363" s="116"/>
      <c r="AB3363" s="87"/>
      <c r="AC3363" s="116"/>
      <c r="AD3363" s="116"/>
      <c r="AE3363" s="116"/>
      <c r="AF3363" s="116"/>
      <c r="AG3363" s="116"/>
      <c r="AH3363" s="116"/>
      <c r="AI3363" s="116"/>
    </row>
    <row r="3364" spans="27:35" ht="18">
      <c r="AA3364" s="116"/>
      <c r="AB3364" s="87"/>
      <c r="AC3364" s="116"/>
      <c r="AD3364" s="116"/>
      <c r="AE3364" s="116"/>
      <c r="AF3364" s="116"/>
      <c r="AG3364" s="116"/>
      <c r="AH3364" s="116"/>
      <c r="AI3364" s="116"/>
    </row>
    <row r="3365" spans="27:35" ht="18">
      <c r="AA3365" s="116"/>
      <c r="AB3365" s="87"/>
      <c r="AC3365" s="116"/>
      <c r="AD3365" s="116"/>
      <c r="AE3365" s="116"/>
      <c r="AF3365" s="116"/>
      <c r="AG3365" s="116"/>
      <c r="AH3365" s="116"/>
      <c r="AI3365" s="116"/>
    </row>
    <row r="3366" spans="27:35" ht="18">
      <c r="AA3366" s="116"/>
      <c r="AB3366" s="87"/>
      <c r="AC3366" s="116"/>
      <c r="AD3366" s="116"/>
      <c r="AE3366" s="116"/>
      <c r="AF3366" s="116"/>
      <c r="AG3366" s="116"/>
      <c r="AH3366" s="116"/>
      <c r="AI3366" s="116"/>
    </row>
    <row r="3367" spans="27:35" ht="18">
      <c r="AA3367" s="116"/>
      <c r="AB3367" s="87"/>
      <c r="AC3367" s="116"/>
      <c r="AD3367" s="116"/>
      <c r="AE3367" s="116"/>
      <c r="AF3367" s="116"/>
      <c r="AG3367" s="116"/>
      <c r="AH3367" s="116"/>
      <c r="AI3367" s="116"/>
    </row>
    <row r="3368" spans="27:35" ht="18">
      <c r="AA3368" s="116"/>
      <c r="AB3368" s="87"/>
      <c r="AC3368" s="116"/>
      <c r="AD3368" s="116"/>
      <c r="AE3368" s="116"/>
      <c r="AF3368" s="116"/>
      <c r="AG3368" s="116"/>
      <c r="AH3368" s="116"/>
      <c r="AI3368" s="116"/>
    </row>
    <row r="3369" spans="27:35" ht="18">
      <c r="AA3369" s="116"/>
      <c r="AB3369" s="87"/>
      <c r="AC3369" s="116"/>
      <c r="AD3369" s="116"/>
      <c r="AE3369" s="116"/>
      <c r="AF3369" s="116"/>
      <c r="AG3369" s="116"/>
      <c r="AH3369" s="116"/>
      <c r="AI3369" s="116"/>
    </row>
    <row r="3370" spans="27:35" ht="18">
      <c r="AA3370" s="116"/>
      <c r="AB3370" s="184"/>
      <c r="AC3370" s="116"/>
      <c r="AD3370" s="116"/>
      <c r="AE3370" s="116"/>
      <c r="AF3370" s="116"/>
      <c r="AG3370" s="116"/>
      <c r="AH3370" s="116"/>
      <c r="AI3370" s="116"/>
    </row>
    <row r="3371" spans="27:35" ht="18">
      <c r="AA3371" s="116"/>
      <c r="AB3371" s="87"/>
      <c r="AC3371" s="116"/>
      <c r="AD3371" s="116"/>
      <c r="AE3371" s="116"/>
      <c r="AF3371" s="116"/>
      <c r="AG3371" s="116"/>
      <c r="AH3371" s="116"/>
      <c r="AI3371" s="116"/>
    </row>
    <row r="3372" spans="27:35" ht="18">
      <c r="AA3372" s="116"/>
      <c r="AB3372" s="87"/>
      <c r="AC3372" s="116"/>
      <c r="AD3372" s="116"/>
      <c r="AE3372" s="116"/>
      <c r="AF3372" s="116"/>
      <c r="AG3372" s="116"/>
      <c r="AH3372" s="116"/>
      <c r="AI3372" s="116"/>
    </row>
    <row r="3373" spans="27:35" ht="18">
      <c r="AA3373" s="116"/>
      <c r="AB3373" s="87"/>
      <c r="AC3373" s="116"/>
      <c r="AD3373" s="116"/>
      <c r="AE3373" s="116"/>
      <c r="AF3373" s="116"/>
      <c r="AG3373" s="116"/>
      <c r="AH3373" s="116"/>
      <c r="AI3373" s="116"/>
    </row>
    <row r="3374" spans="27:35" ht="18">
      <c r="AA3374" s="116"/>
      <c r="AB3374" s="87"/>
      <c r="AC3374" s="116"/>
      <c r="AD3374" s="116"/>
      <c r="AE3374" s="116"/>
      <c r="AF3374" s="116"/>
      <c r="AG3374" s="116"/>
      <c r="AH3374" s="116"/>
      <c r="AI3374" s="116"/>
    </row>
    <row r="3375" spans="27:35" ht="18">
      <c r="AA3375" s="116"/>
      <c r="AB3375" s="87"/>
      <c r="AC3375" s="116"/>
      <c r="AD3375" s="116"/>
      <c r="AE3375" s="116"/>
      <c r="AF3375" s="116"/>
      <c r="AG3375" s="116"/>
      <c r="AH3375" s="116"/>
      <c r="AI3375" s="116"/>
    </row>
    <row r="3376" spans="27:35" ht="18">
      <c r="AA3376" s="116"/>
      <c r="AB3376" s="87"/>
      <c r="AC3376" s="116"/>
      <c r="AD3376" s="116"/>
      <c r="AE3376" s="116"/>
      <c r="AF3376" s="116"/>
      <c r="AG3376" s="116"/>
      <c r="AH3376" s="116"/>
      <c r="AI3376" s="116"/>
    </row>
    <row r="3377" spans="27:35" ht="18">
      <c r="AA3377" s="116"/>
      <c r="AB3377" s="184"/>
      <c r="AC3377" s="116"/>
      <c r="AD3377" s="116"/>
      <c r="AE3377" s="116"/>
      <c r="AF3377" s="116"/>
      <c r="AG3377" s="116"/>
      <c r="AH3377" s="116"/>
      <c r="AI3377" s="116"/>
    </row>
    <row r="3378" spans="27:35" ht="18">
      <c r="AA3378" s="116"/>
      <c r="AB3378" s="87"/>
      <c r="AC3378" s="116"/>
      <c r="AD3378" s="116"/>
      <c r="AE3378" s="116"/>
      <c r="AF3378" s="116"/>
      <c r="AG3378" s="116"/>
      <c r="AH3378" s="116"/>
      <c r="AI3378" s="116"/>
    </row>
    <row r="3379" spans="27:35" ht="18">
      <c r="AA3379" s="116"/>
      <c r="AB3379" s="87"/>
      <c r="AC3379" s="116"/>
      <c r="AD3379" s="116"/>
      <c r="AE3379" s="116"/>
      <c r="AF3379" s="116"/>
      <c r="AG3379" s="116"/>
      <c r="AH3379" s="116"/>
      <c r="AI3379" s="116"/>
    </row>
    <row r="3380" spans="27:35" ht="18">
      <c r="AA3380" s="116"/>
      <c r="AB3380" s="87"/>
      <c r="AC3380" s="116"/>
      <c r="AD3380" s="116"/>
      <c r="AE3380" s="116"/>
      <c r="AF3380" s="116"/>
      <c r="AG3380" s="116"/>
      <c r="AH3380" s="116"/>
      <c r="AI3380" s="116"/>
    </row>
    <row r="3381" spans="27:35" ht="18">
      <c r="AA3381" s="116"/>
      <c r="AB3381" s="87"/>
      <c r="AC3381" s="116"/>
      <c r="AD3381" s="116"/>
      <c r="AE3381" s="116"/>
      <c r="AF3381" s="116"/>
      <c r="AG3381" s="116"/>
      <c r="AH3381" s="116"/>
      <c r="AI3381" s="116"/>
    </row>
    <row r="3382" spans="27:35" ht="18">
      <c r="AA3382" s="116"/>
      <c r="AB3382" s="87"/>
      <c r="AC3382" s="116"/>
      <c r="AD3382" s="116"/>
      <c r="AE3382" s="116"/>
      <c r="AF3382" s="116"/>
      <c r="AG3382" s="116"/>
      <c r="AH3382" s="116"/>
      <c r="AI3382" s="116"/>
    </row>
    <row r="3383" spans="27:35" ht="18">
      <c r="AA3383" s="116"/>
      <c r="AB3383" s="87"/>
      <c r="AC3383" s="116"/>
      <c r="AD3383" s="116"/>
      <c r="AE3383" s="116"/>
      <c r="AF3383" s="116"/>
      <c r="AG3383" s="116"/>
      <c r="AH3383" s="116"/>
      <c r="AI3383" s="116"/>
    </row>
    <row r="3384" spans="27:35" ht="18">
      <c r="AA3384" s="116"/>
      <c r="AB3384" s="87"/>
      <c r="AC3384" s="116"/>
      <c r="AD3384" s="116"/>
      <c r="AE3384" s="116"/>
      <c r="AF3384" s="116"/>
      <c r="AG3384" s="116"/>
      <c r="AH3384" s="116"/>
      <c r="AI3384" s="116"/>
    </row>
    <row r="3385" spans="27:35" ht="18">
      <c r="AA3385" s="116"/>
      <c r="AB3385" s="87"/>
      <c r="AC3385" s="116"/>
      <c r="AD3385" s="116"/>
      <c r="AE3385" s="116"/>
      <c r="AF3385" s="116"/>
      <c r="AG3385" s="116"/>
      <c r="AH3385" s="116"/>
      <c r="AI3385" s="116"/>
    </row>
    <row r="3386" spans="27:35" ht="18">
      <c r="AA3386" s="116"/>
      <c r="AB3386" s="87"/>
      <c r="AC3386" s="116"/>
      <c r="AD3386" s="116"/>
      <c r="AE3386" s="116"/>
      <c r="AF3386" s="116"/>
      <c r="AG3386" s="116"/>
      <c r="AH3386" s="116"/>
      <c r="AI3386" s="116"/>
    </row>
    <row r="3387" spans="27:35" ht="18">
      <c r="AA3387" s="116"/>
      <c r="AB3387" s="87"/>
      <c r="AC3387" s="116"/>
      <c r="AD3387" s="116"/>
      <c r="AE3387" s="116"/>
      <c r="AF3387" s="116"/>
      <c r="AG3387" s="116"/>
      <c r="AH3387" s="116"/>
      <c r="AI3387" s="116"/>
    </row>
    <row r="3388" spans="27:35" ht="18">
      <c r="AA3388" s="116"/>
      <c r="AB3388" s="87"/>
      <c r="AC3388" s="116"/>
      <c r="AD3388" s="116"/>
      <c r="AE3388" s="116"/>
      <c r="AF3388" s="116"/>
      <c r="AG3388" s="116"/>
      <c r="AH3388" s="116"/>
      <c r="AI3388" s="116"/>
    </row>
    <row r="3389" spans="27:35" ht="18">
      <c r="AA3389" s="116"/>
      <c r="AB3389" s="87"/>
      <c r="AC3389" s="116"/>
      <c r="AD3389" s="116"/>
      <c r="AE3389" s="116"/>
      <c r="AF3389" s="116"/>
      <c r="AG3389" s="116"/>
      <c r="AH3389" s="116"/>
      <c r="AI3389" s="116"/>
    </row>
    <row r="3390" spans="27:35" ht="18">
      <c r="AA3390" s="116"/>
      <c r="AB3390" s="87"/>
      <c r="AC3390" s="116"/>
      <c r="AD3390" s="116"/>
      <c r="AE3390" s="116"/>
      <c r="AF3390" s="116"/>
      <c r="AG3390" s="116"/>
      <c r="AH3390" s="116"/>
      <c r="AI3390" s="116"/>
    </row>
    <row r="3391" spans="27:35" ht="18">
      <c r="AA3391" s="116"/>
      <c r="AB3391" s="87"/>
      <c r="AC3391" s="116"/>
      <c r="AD3391" s="116"/>
      <c r="AE3391" s="116"/>
      <c r="AF3391" s="116"/>
      <c r="AG3391" s="116"/>
      <c r="AH3391" s="116"/>
      <c r="AI3391" s="116"/>
    </row>
    <row r="3392" spans="27:35" ht="18">
      <c r="AA3392" s="116"/>
      <c r="AB3392" s="87"/>
      <c r="AC3392" s="116"/>
      <c r="AD3392" s="116"/>
      <c r="AE3392" s="116"/>
      <c r="AF3392" s="116"/>
      <c r="AG3392" s="116"/>
      <c r="AH3392" s="116"/>
      <c r="AI3392" s="116"/>
    </row>
    <row r="3393" spans="27:35" ht="18">
      <c r="AA3393" s="116"/>
      <c r="AB3393" s="87"/>
      <c r="AC3393" s="116"/>
      <c r="AD3393" s="116"/>
      <c r="AE3393" s="116"/>
      <c r="AF3393" s="116"/>
      <c r="AG3393" s="116"/>
      <c r="AH3393" s="116"/>
      <c r="AI3393" s="116"/>
    </row>
    <row r="3394" spans="27:35" ht="18">
      <c r="AA3394" s="116"/>
      <c r="AB3394" s="87"/>
      <c r="AC3394" s="116"/>
      <c r="AD3394" s="116"/>
      <c r="AE3394" s="116"/>
      <c r="AF3394" s="116"/>
      <c r="AG3394" s="116"/>
      <c r="AH3394" s="116"/>
      <c r="AI3394" s="116"/>
    </row>
    <row r="3395" spans="27:35" ht="18">
      <c r="AA3395" s="116"/>
      <c r="AB3395" s="87"/>
      <c r="AC3395" s="116"/>
      <c r="AD3395" s="116"/>
      <c r="AE3395" s="116"/>
      <c r="AF3395" s="116"/>
      <c r="AG3395" s="116"/>
      <c r="AH3395" s="116"/>
      <c r="AI3395" s="116"/>
    </row>
    <row r="3396" spans="27:35" ht="18">
      <c r="AA3396" s="116"/>
      <c r="AB3396" s="87"/>
      <c r="AC3396" s="116"/>
      <c r="AD3396" s="116"/>
      <c r="AE3396" s="116"/>
      <c r="AF3396" s="116"/>
      <c r="AG3396" s="116"/>
      <c r="AH3396" s="116"/>
      <c r="AI3396" s="116"/>
    </row>
    <row r="3397" spans="27:35" ht="18">
      <c r="AA3397" s="116"/>
      <c r="AB3397" s="87"/>
      <c r="AC3397" s="116"/>
      <c r="AD3397" s="116"/>
      <c r="AE3397" s="116"/>
      <c r="AF3397" s="116"/>
      <c r="AG3397" s="116"/>
      <c r="AH3397" s="116"/>
      <c r="AI3397" s="116"/>
    </row>
    <row r="3398" spans="27:35" ht="18">
      <c r="AA3398" s="116"/>
      <c r="AB3398" s="87"/>
      <c r="AC3398" s="116"/>
      <c r="AD3398" s="116"/>
      <c r="AE3398" s="116"/>
      <c r="AF3398" s="116"/>
      <c r="AG3398" s="116"/>
      <c r="AH3398" s="116"/>
      <c r="AI3398" s="116"/>
    </row>
    <row r="3399" spans="27:35" ht="18">
      <c r="AA3399" s="116"/>
      <c r="AB3399" s="87"/>
      <c r="AC3399" s="116"/>
      <c r="AD3399" s="116"/>
      <c r="AE3399" s="116"/>
      <c r="AF3399" s="116"/>
      <c r="AG3399" s="116"/>
      <c r="AH3399" s="116"/>
      <c r="AI3399" s="116"/>
    </row>
    <row r="3400" spans="27:35" ht="18">
      <c r="AA3400" s="116"/>
      <c r="AB3400" s="87"/>
      <c r="AC3400" s="116"/>
      <c r="AD3400" s="116"/>
      <c r="AE3400" s="116"/>
      <c r="AF3400" s="116"/>
      <c r="AG3400" s="116"/>
      <c r="AH3400" s="116"/>
      <c r="AI3400" s="116"/>
    </row>
    <row r="3401" spans="27:35" ht="18">
      <c r="AA3401" s="116"/>
      <c r="AB3401" s="87"/>
      <c r="AC3401" s="116"/>
      <c r="AD3401" s="116"/>
      <c r="AE3401" s="116"/>
      <c r="AF3401" s="116"/>
      <c r="AG3401" s="116"/>
      <c r="AH3401" s="116"/>
      <c r="AI3401" s="116"/>
    </row>
    <row r="3402" spans="27:35" ht="18">
      <c r="AA3402" s="116"/>
      <c r="AB3402" s="87"/>
      <c r="AC3402" s="116"/>
      <c r="AD3402" s="116"/>
      <c r="AE3402" s="116"/>
      <c r="AF3402" s="116"/>
      <c r="AG3402" s="116"/>
      <c r="AH3402" s="116"/>
      <c r="AI3402" s="116"/>
    </row>
    <row r="3403" spans="27:35" ht="18">
      <c r="AA3403" s="116"/>
      <c r="AB3403" s="87"/>
      <c r="AC3403" s="116"/>
      <c r="AD3403" s="116"/>
      <c r="AE3403" s="116"/>
      <c r="AF3403" s="116"/>
      <c r="AG3403" s="116"/>
      <c r="AH3403" s="116"/>
      <c r="AI3403" s="116"/>
    </row>
    <row r="3404" spans="27:35" ht="18">
      <c r="AA3404" s="116"/>
      <c r="AB3404" s="87"/>
      <c r="AC3404" s="116"/>
      <c r="AD3404" s="116"/>
      <c r="AE3404" s="116"/>
      <c r="AF3404" s="116"/>
      <c r="AG3404" s="116"/>
      <c r="AH3404" s="116"/>
      <c r="AI3404" s="116"/>
    </row>
    <row r="3405" spans="27:35" ht="18">
      <c r="AA3405" s="116"/>
      <c r="AB3405" s="184"/>
      <c r="AC3405" s="116"/>
      <c r="AD3405" s="116"/>
      <c r="AE3405" s="116"/>
      <c r="AF3405" s="116"/>
      <c r="AG3405" s="116"/>
      <c r="AH3405" s="116"/>
      <c r="AI3405" s="116"/>
    </row>
    <row r="3406" spans="27:35" ht="18">
      <c r="AA3406" s="116"/>
      <c r="AB3406" s="184"/>
      <c r="AC3406" s="116"/>
      <c r="AD3406" s="116"/>
      <c r="AE3406" s="116"/>
      <c r="AF3406" s="116"/>
      <c r="AG3406" s="116"/>
      <c r="AH3406" s="116"/>
      <c r="AI3406" s="116"/>
    </row>
    <row r="3407" spans="27:35" ht="18">
      <c r="AA3407" s="116"/>
      <c r="AB3407" s="87"/>
      <c r="AC3407" s="116"/>
      <c r="AD3407" s="116"/>
      <c r="AE3407" s="116"/>
      <c r="AF3407" s="116"/>
      <c r="AG3407" s="116"/>
      <c r="AH3407" s="116"/>
      <c r="AI3407" s="116"/>
    </row>
    <row r="3408" spans="27:35" ht="18">
      <c r="AA3408" s="116"/>
      <c r="AB3408" s="87"/>
      <c r="AC3408" s="116"/>
      <c r="AD3408" s="116"/>
      <c r="AE3408" s="116"/>
      <c r="AF3408" s="116"/>
      <c r="AG3408" s="116"/>
      <c r="AH3408" s="116"/>
      <c r="AI3408" s="116"/>
    </row>
    <row r="3409" spans="27:35" ht="18">
      <c r="AA3409" s="116"/>
      <c r="AB3409" s="87"/>
      <c r="AC3409" s="116"/>
      <c r="AD3409" s="116"/>
      <c r="AE3409" s="116"/>
      <c r="AF3409" s="116"/>
      <c r="AG3409" s="116"/>
      <c r="AH3409" s="116"/>
      <c r="AI3409" s="116"/>
    </row>
    <row r="3410" spans="27:35" ht="18">
      <c r="AA3410" s="116"/>
      <c r="AB3410" s="87"/>
      <c r="AC3410" s="116"/>
      <c r="AD3410" s="116"/>
      <c r="AE3410" s="116"/>
      <c r="AF3410" s="116"/>
      <c r="AG3410" s="116"/>
      <c r="AH3410" s="116"/>
      <c r="AI3410" s="116"/>
    </row>
    <row r="3411" spans="27:35" ht="18">
      <c r="AA3411" s="116"/>
      <c r="AB3411" s="87"/>
      <c r="AC3411" s="116"/>
      <c r="AD3411" s="116"/>
      <c r="AE3411" s="116"/>
      <c r="AF3411" s="116"/>
      <c r="AG3411" s="116"/>
      <c r="AH3411" s="116"/>
      <c r="AI3411" s="116"/>
    </row>
    <row r="3412" spans="27:35" ht="18">
      <c r="AA3412" s="116"/>
      <c r="AB3412" s="87"/>
      <c r="AC3412" s="116"/>
      <c r="AD3412" s="116"/>
      <c r="AE3412" s="116"/>
      <c r="AF3412" s="116"/>
      <c r="AG3412" s="116"/>
      <c r="AH3412" s="116"/>
      <c r="AI3412" s="116"/>
    </row>
    <row r="3413" spans="27:35" ht="18">
      <c r="AA3413" s="116"/>
      <c r="AB3413" s="87"/>
      <c r="AC3413" s="116"/>
      <c r="AD3413" s="116"/>
      <c r="AE3413" s="116"/>
      <c r="AF3413" s="116"/>
      <c r="AG3413" s="116"/>
      <c r="AH3413" s="116"/>
      <c r="AI3413" s="116"/>
    </row>
    <row r="3414" spans="27:35" ht="18">
      <c r="AA3414" s="116"/>
      <c r="AB3414" s="87"/>
      <c r="AC3414" s="116"/>
      <c r="AD3414" s="116"/>
      <c r="AE3414" s="116"/>
      <c r="AF3414" s="116"/>
      <c r="AG3414" s="116"/>
      <c r="AH3414" s="116"/>
      <c r="AI3414" s="116"/>
    </row>
    <row r="3415" spans="27:35" ht="18">
      <c r="AA3415" s="116"/>
      <c r="AB3415" s="87"/>
      <c r="AC3415" s="116"/>
      <c r="AD3415" s="116"/>
      <c r="AE3415" s="116"/>
      <c r="AF3415" s="116"/>
      <c r="AG3415" s="116"/>
      <c r="AH3415" s="116"/>
      <c r="AI3415" s="116"/>
    </row>
    <row r="3416" spans="27:35" ht="18">
      <c r="AA3416" s="116"/>
      <c r="AB3416" s="87"/>
      <c r="AC3416" s="116"/>
      <c r="AD3416" s="116"/>
      <c r="AE3416" s="116"/>
      <c r="AF3416" s="116"/>
      <c r="AG3416" s="116"/>
      <c r="AH3416" s="116"/>
      <c r="AI3416" s="116"/>
    </row>
    <row r="3417" spans="27:35" ht="18">
      <c r="AA3417" s="116"/>
      <c r="AB3417" s="87"/>
      <c r="AC3417" s="116"/>
      <c r="AD3417" s="116"/>
      <c r="AE3417" s="116"/>
      <c r="AF3417" s="116"/>
      <c r="AG3417" s="116"/>
      <c r="AH3417" s="116"/>
      <c r="AI3417" s="116"/>
    </row>
    <row r="3418" spans="27:35" ht="18">
      <c r="AA3418" s="116"/>
      <c r="AB3418" s="87"/>
      <c r="AC3418" s="116"/>
      <c r="AD3418" s="116"/>
      <c r="AE3418" s="116"/>
      <c r="AF3418" s="116"/>
      <c r="AG3418" s="116"/>
      <c r="AH3418" s="116"/>
      <c r="AI3418" s="116"/>
    </row>
    <row r="3419" spans="27:35" ht="18">
      <c r="AA3419" s="116"/>
      <c r="AB3419" s="87"/>
      <c r="AC3419" s="116"/>
      <c r="AD3419" s="116"/>
      <c r="AE3419" s="116"/>
      <c r="AF3419" s="116"/>
      <c r="AG3419" s="116"/>
      <c r="AH3419" s="116"/>
      <c r="AI3419" s="116"/>
    </row>
    <row r="3420" spans="27:35" ht="18">
      <c r="AA3420" s="116"/>
      <c r="AB3420" s="87"/>
      <c r="AC3420" s="116"/>
      <c r="AD3420" s="116"/>
      <c r="AE3420" s="116"/>
      <c r="AF3420" s="116"/>
      <c r="AG3420" s="116"/>
      <c r="AH3420" s="116"/>
      <c r="AI3420" s="116"/>
    </row>
    <row r="3421" spans="27:35" ht="18">
      <c r="AA3421" s="116"/>
      <c r="AB3421" s="87"/>
      <c r="AC3421" s="116"/>
      <c r="AD3421" s="116"/>
      <c r="AE3421" s="116"/>
      <c r="AF3421" s="116"/>
      <c r="AG3421" s="116"/>
      <c r="AH3421" s="116"/>
      <c r="AI3421" s="116"/>
    </row>
    <row r="3422" spans="27:35" ht="18">
      <c r="AA3422" s="116"/>
      <c r="AB3422" s="87"/>
      <c r="AC3422" s="116"/>
      <c r="AD3422" s="116"/>
      <c r="AE3422" s="116"/>
      <c r="AF3422" s="116"/>
      <c r="AG3422" s="116"/>
      <c r="AH3422" s="116"/>
      <c r="AI3422" s="116"/>
    </row>
    <row r="3423" spans="27:35" ht="18">
      <c r="AA3423" s="116"/>
      <c r="AB3423" s="87"/>
      <c r="AC3423" s="116"/>
      <c r="AD3423" s="116"/>
      <c r="AE3423" s="116"/>
      <c r="AF3423" s="116"/>
      <c r="AG3423" s="116"/>
      <c r="AH3423" s="116"/>
      <c r="AI3423" s="116"/>
    </row>
    <row r="3424" spans="27:35" ht="18">
      <c r="AA3424" s="116"/>
      <c r="AB3424" s="87"/>
      <c r="AC3424" s="116"/>
      <c r="AD3424" s="116"/>
      <c r="AE3424" s="116"/>
      <c r="AF3424" s="116"/>
      <c r="AG3424" s="116"/>
      <c r="AH3424" s="116"/>
      <c r="AI3424" s="116"/>
    </row>
    <row r="3425" spans="27:35" ht="18">
      <c r="AA3425" s="116"/>
      <c r="AB3425" s="87"/>
      <c r="AC3425" s="116"/>
      <c r="AD3425" s="116"/>
      <c r="AE3425" s="116"/>
      <c r="AF3425" s="116"/>
      <c r="AG3425" s="116"/>
      <c r="AH3425" s="116"/>
      <c r="AI3425" s="116"/>
    </row>
    <row r="3426" spans="27:35" ht="18">
      <c r="AA3426" s="116"/>
      <c r="AB3426" s="87"/>
      <c r="AC3426" s="116"/>
      <c r="AD3426" s="116"/>
      <c r="AE3426" s="116"/>
      <c r="AF3426" s="116"/>
      <c r="AG3426" s="116"/>
      <c r="AH3426" s="116"/>
      <c r="AI3426" s="116"/>
    </row>
    <row r="3427" spans="27:35" ht="18">
      <c r="AA3427" s="116"/>
      <c r="AB3427" s="87"/>
      <c r="AC3427" s="116"/>
      <c r="AD3427" s="116"/>
      <c r="AE3427" s="116"/>
      <c r="AF3427" s="116"/>
      <c r="AG3427" s="116"/>
      <c r="AH3427" s="116"/>
      <c r="AI3427" s="116"/>
    </row>
    <row r="3428" spans="27:35" ht="18">
      <c r="AA3428" s="116"/>
      <c r="AB3428" s="87"/>
      <c r="AC3428" s="116"/>
      <c r="AD3428" s="116"/>
      <c r="AE3428" s="116"/>
      <c r="AF3428" s="116"/>
      <c r="AG3428" s="116"/>
      <c r="AH3428" s="116"/>
      <c r="AI3428" s="116"/>
    </row>
    <row r="3429" spans="27:35" ht="18">
      <c r="AA3429" s="116"/>
      <c r="AB3429" s="87"/>
      <c r="AC3429" s="116"/>
      <c r="AD3429" s="116"/>
      <c r="AE3429" s="116"/>
      <c r="AF3429" s="116"/>
      <c r="AG3429" s="116"/>
      <c r="AH3429" s="116"/>
      <c r="AI3429" s="116"/>
    </row>
    <row r="3430" spans="27:35" ht="18">
      <c r="AA3430" s="116"/>
      <c r="AB3430" s="87"/>
      <c r="AC3430" s="116"/>
      <c r="AD3430" s="116"/>
      <c r="AE3430" s="116"/>
      <c r="AF3430" s="116"/>
      <c r="AG3430" s="116"/>
      <c r="AH3430" s="116"/>
      <c r="AI3430" s="116"/>
    </row>
    <row r="3431" spans="27:35" ht="18">
      <c r="AA3431" s="116"/>
      <c r="AB3431" s="87"/>
      <c r="AC3431" s="116"/>
      <c r="AD3431" s="116"/>
      <c r="AE3431" s="116"/>
      <c r="AF3431" s="116"/>
      <c r="AG3431" s="116"/>
      <c r="AH3431" s="116"/>
      <c r="AI3431" s="116"/>
    </row>
    <row r="3432" spans="27:35" ht="18">
      <c r="AA3432" s="116"/>
      <c r="AB3432" s="87"/>
      <c r="AC3432" s="116"/>
      <c r="AD3432" s="116"/>
      <c r="AE3432" s="116"/>
      <c r="AF3432" s="116"/>
      <c r="AG3432" s="116"/>
      <c r="AH3432" s="116"/>
      <c r="AI3432" s="116"/>
    </row>
    <row r="3433" spans="27:35" ht="18">
      <c r="AA3433" s="116"/>
      <c r="AB3433" s="87"/>
      <c r="AC3433" s="116"/>
      <c r="AD3433" s="116"/>
      <c r="AE3433" s="116"/>
      <c r="AF3433" s="116"/>
      <c r="AG3433" s="116"/>
      <c r="AH3433" s="116"/>
      <c r="AI3433" s="116"/>
    </row>
    <row r="3434" spans="27:35" ht="18">
      <c r="AA3434" s="116"/>
      <c r="AB3434" s="87"/>
      <c r="AC3434" s="116"/>
      <c r="AD3434" s="116"/>
      <c r="AE3434" s="116"/>
      <c r="AF3434" s="116"/>
      <c r="AG3434" s="116"/>
      <c r="AH3434" s="116"/>
      <c r="AI3434" s="116"/>
    </row>
    <row r="3435" spans="27:35" ht="18">
      <c r="AA3435" s="116"/>
      <c r="AB3435" s="87"/>
      <c r="AC3435" s="116"/>
      <c r="AD3435" s="116"/>
      <c r="AE3435" s="116"/>
      <c r="AF3435" s="116"/>
      <c r="AG3435" s="116"/>
      <c r="AH3435" s="116"/>
      <c r="AI3435" s="116"/>
    </row>
    <row r="3436" spans="27:35" ht="18">
      <c r="AA3436" s="116"/>
      <c r="AB3436" s="87"/>
      <c r="AC3436" s="116"/>
      <c r="AD3436" s="116"/>
      <c r="AE3436" s="116"/>
      <c r="AF3436" s="116"/>
      <c r="AG3436" s="116"/>
      <c r="AH3436" s="116"/>
      <c r="AI3436" s="116"/>
    </row>
    <row r="3437" spans="27:35" ht="18">
      <c r="AA3437" s="116"/>
      <c r="AB3437" s="87"/>
      <c r="AC3437" s="116"/>
      <c r="AD3437" s="116"/>
      <c r="AE3437" s="116"/>
      <c r="AF3437" s="116"/>
      <c r="AG3437" s="116"/>
      <c r="AH3437" s="116"/>
      <c r="AI3437" s="116"/>
    </row>
    <row r="3438" spans="27:35" ht="18">
      <c r="AA3438" s="116"/>
      <c r="AB3438" s="184"/>
      <c r="AC3438" s="116"/>
      <c r="AD3438" s="116"/>
      <c r="AE3438" s="116"/>
      <c r="AF3438" s="116"/>
      <c r="AG3438" s="116"/>
      <c r="AH3438" s="116"/>
      <c r="AI3438" s="116"/>
    </row>
    <row r="3439" spans="27:35" ht="18">
      <c r="AA3439" s="116"/>
      <c r="AB3439" s="87"/>
      <c r="AC3439" s="116"/>
      <c r="AD3439" s="116"/>
      <c r="AE3439" s="116"/>
      <c r="AF3439" s="116"/>
      <c r="AG3439" s="116"/>
      <c r="AH3439" s="116"/>
      <c r="AI3439" s="116"/>
    </row>
    <row r="3440" spans="27:35" ht="18">
      <c r="AA3440" s="116"/>
      <c r="AB3440" s="87"/>
      <c r="AC3440" s="116"/>
      <c r="AD3440" s="116"/>
      <c r="AE3440" s="116"/>
      <c r="AF3440" s="116"/>
      <c r="AG3440" s="116"/>
      <c r="AH3440" s="116"/>
      <c r="AI3440" s="116"/>
    </row>
    <row r="3441" spans="27:35" ht="18">
      <c r="AA3441" s="116"/>
      <c r="AB3441" s="87"/>
      <c r="AC3441" s="116"/>
      <c r="AD3441" s="116"/>
      <c r="AE3441" s="116"/>
      <c r="AF3441" s="116"/>
      <c r="AG3441" s="116"/>
      <c r="AH3441" s="116"/>
      <c r="AI3441" s="116"/>
    </row>
    <row r="3442" spans="27:35" ht="18">
      <c r="AA3442" s="116"/>
      <c r="AB3442" s="87"/>
      <c r="AC3442" s="116"/>
      <c r="AD3442" s="116"/>
      <c r="AE3442" s="116"/>
      <c r="AF3442" s="116"/>
      <c r="AG3442" s="116"/>
      <c r="AH3442" s="116"/>
      <c r="AI3442" s="116"/>
    </row>
    <row r="3443" spans="27:35" ht="18">
      <c r="AA3443" s="116"/>
      <c r="AB3443" s="87"/>
      <c r="AC3443" s="116"/>
      <c r="AD3443" s="116"/>
      <c r="AE3443" s="116"/>
      <c r="AF3443" s="116"/>
      <c r="AG3443" s="116"/>
      <c r="AH3443" s="116"/>
      <c r="AI3443" s="116"/>
    </row>
    <row r="3444" spans="27:35" ht="18">
      <c r="AA3444" s="116"/>
      <c r="AB3444" s="87"/>
      <c r="AC3444" s="116"/>
      <c r="AD3444" s="116"/>
      <c r="AE3444" s="116"/>
      <c r="AF3444" s="116"/>
      <c r="AG3444" s="116"/>
      <c r="AH3444" s="116"/>
      <c r="AI3444" s="116"/>
    </row>
    <row r="3445" spans="27:35" ht="18">
      <c r="AA3445" s="116"/>
      <c r="AB3445" s="87"/>
      <c r="AC3445" s="116"/>
      <c r="AD3445" s="116"/>
      <c r="AE3445" s="116"/>
      <c r="AF3445" s="116"/>
      <c r="AG3445" s="116"/>
      <c r="AH3445" s="116"/>
      <c r="AI3445" s="116"/>
    </row>
    <row r="3446" spans="27:35" ht="18">
      <c r="AA3446" s="116"/>
      <c r="AB3446" s="87"/>
      <c r="AC3446" s="116"/>
      <c r="AD3446" s="116"/>
      <c r="AE3446" s="116"/>
      <c r="AF3446" s="116"/>
      <c r="AG3446" s="116"/>
      <c r="AH3446" s="116"/>
      <c r="AI3446" s="116"/>
    </row>
    <row r="3447" spans="27:35" ht="18">
      <c r="AA3447" s="116"/>
      <c r="AB3447" s="184"/>
      <c r="AC3447" s="116"/>
      <c r="AD3447" s="116"/>
      <c r="AE3447" s="116"/>
      <c r="AF3447" s="116"/>
      <c r="AG3447" s="116"/>
      <c r="AH3447" s="116"/>
      <c r="AI3447" s="116"/>
    </row>
    <row r="3448" spans="27:35" ht="18">
      <c r="AA3448" s="116"/>
      <c r="AB3448" s="184"/>
      <c r="AC3448" s="116"/>
      <c r="AD3448" s="116"/>
      <c r="AE3448" s="116"/>
      <c r="AF3448" s="116"/>
      <c r="AG3448" s="116"/>
      <c r="AH3448" s="116"/>
      <c r="AI3448" s="116"/>
    </row>
    <row r="3449" spans="27:35" ht="18">
      <c r="AA3449" s="116"/>
      <c r="AB3449" s="87"/>
      <c r="AC3449" s="116"/>
      <c r="AD3449" s="116"/>
      <c r="AE3449" s="116"/>
      <c r="AF3449" s="116"/>
      <c r="AG3449" s="116"/>
      <c r="AH3449" s="116"/>
      <c r="AI3449" s="116"/>
    </row>
    <row r="3450" spans="27:35" ht="18">
      <c r="AA3450" s="116"/>
      <c r="AB3450" s="87"/>
      <c r="AC3450" s="116"/>
      <c r="AD3450" s="116"/>
      <c r="AE3450" s="116"/>
      <c r="AF3450" s="116"/>
      <c r="AG3450" s="116"/>
      <c r="AH3450" s="116"/>
      <c r="AI3450" s="116"/>
    </row>
    <row r="3451" spans="27:35" ht="18">
      <c r="AA3451" s="116"/>
      <c r="AB3451" s="87"/>
      <c r="AC3451" s="116"/>
      <c r="AD3451" s="116"/>
      <c r="AE3451" s="116"/>
      <c r="AF3451" s="116"/>
      <c r="AG3451" s="116"/>
      <c r="AH3451" s="116"/>
      <c r="AI3451" s="116"/>
    </row>
    <row r="3452" spans="27:35" ht="18">
      <c r="AA3452" s="116"/>
      <c r="AB3452" s="87"/>
      <c r="AC3452" s="116"/>
      <c r="AD3452" s="116"/>
      <c r="AE3452" s="116"/>
      <c r="AF3452" s="116"/>
      <c r="AG3452" s="116"/>
      <c r="AH3452" s="116"/>
      <c r="AI3452" s="116"/>
    </row>
    <row r="3453" spans="27:35" ht="18">
      <c r="AA3453" s="116"/>
      <c r="AB3453" s="87"/>
      <c r="AC3453" s="116"/>
      <c r="AD3453" s="116"/>
      <c r="AE3453" s="116"/>
      <c r="AF3453" s="116"/>
      <c r="AG3453" s="116"/>
      <c r="AH3453" s="116"/>
      <c r="AI3453" s="116"/>
    </row>
    <row r="3454" spans="27:35" ht="18">
      <c r="AA3454" s="116"/>
      <c r="AB3454" s="87"/>
      <c r="AC3454" s="116"/>
      <c r="AD3454" s="116"/>
      <c r="AE3454" s="116"/>
      <c r="AF3454" s="116"/>
      <c r="AG3454" s="116"/>
      <c r="AH3454" s="116"/>
      <c r="AI3454" s="116"/>
    </row>
    <row r="3455" spans="27:35" ht="18">
      <c r="AA3455" s="116"/>
      <c r="AB3455" s="87"/>
      <c r="AC3455" s="116"/>
      <c r="AD3455" s="116"/>
      <c r="AE3455" s="116"/>
      <c r="AF3455" s="116"/>
      <c r="AG3455" s="116"/>
      <c r="AH3455" s="116"/>
      <c r="AI3455" s="116"/>
    </row>
    <row r="3456" spans="27:35" ht="18">
      <c r="AA3456" s="116"/>
      <c r="AB3456" s="87"/>
      <c r="AC3456" s="116"/>
      <c r="AD3456" s="116"/>
      <c r="AE3456" s="116"/>
      <c r="AF3456" s="116"/>
      <c r="AG3456" s="116"/>
      <c r="AH3456" s="116"/>
      <c r="AI3456" s="116"/>
    </row>
    <row r="3457" spans="27:35" ht="18">
      <c r="AA3457" s="116"/>
      <c r="AB3457" s="87"/>
      <c r="AC3457" s="116"/>
      <c r="AD3457" s="116"/>
      <c r="AE3457" s="116"/>
      <c r="AF3457" s="116"/>
      <c r="AG3457" s="116"/>
      <c r="AH3457" s="116"/>
      <c r="AI3457" s="116"/>
    </row>
    <row r="3458" spans="27:35" ht="18">
      <c r="AA3458" s="116"/>
      <c r="AB3458" s="87"/>
      <c r="AC3458" s="116"/>
      <c r="AD3458" s="116"/>
      <c r="AE3458" s="116"/>
      <c r="AF3458" s="116"/>
      <c r="AG3458" s="116"/>
      <c r="AH3458" s="116"/>
      <c r="AI3458" s="116"/>
    </row>
    <row r="3459" spans="27:35" ht="18">
      <c r="AA3459" s="116"/>
      <c r="AB3459" s="87"/>
      <c r="AC3459" s="116"/>
      <c r="AD3459" s="116"/>
      <c r="AE3459" s="116"/>
      <c r="AF3459" s="116"/>
      <c r="AG3459" s="116"/>
      <c r="AH3459" s="116"/>
      <c r="AI3459" s="116"/>
    </row>
    <row r="3460" spans="27:35" ht="18">
      <c r="AA3460" s="116"/>
      <c r="AB3460" s="87"/>
      <c r="AC3460" s="116"/>
      <c r="AD3460" s="116"/>
      <c r="AE3460" s="116"/>
      <c r="AF3460" s="116"/>
      <c r="AG3460" s="116"/>
      <c r="AH3460" s="116"/>
      <c r="AI3460" s="116"/>
    </row>
    <row r="3461" spans="27:35" ht="18">
      <c r="AA3461" s="116"/>
      <c r="AB3461" s="87"/>
      <c r="AC3461" s="116"/>
      <c r="AD3461" s="116"/>
      <c r="AE3461" s="116"/>
      <c r="AF3461" s="116"/>
      <c r="AG3461" s="116"/>
      <c r="AH3461" s="116"/>
      <c r="AI3461" s="116"/>
    </row>
    <row r="3462" spans="27:35" ht="18">
      <c r="AA3462" s="116"/>
      <c r="AB3462" s="87"/>
      <c r="AC3462" s="116"/>
      <c r="AD3462" s="116"/>
      <c r="AE3462" s="116"/>
      <c r="AF3462" s="116"/>
      <c r="AG3462" s="116"/>
      <c r="AH3462" s="116"/>
      <c r="AI3462" s="116"/>
    </row>
    <row r="3463" spans="27:35" ht="18">
      <c r="AA3463" s="116"/>
      <c r="AB3463" s="87"/>
      <c r="AC3463" s="116"/>
      <c r="AD3463" s="116"/>
      <c r="AE3463" s="116"/>
      <c r="AF3463" s="116"/>
      <c r="AG3463" s="116"/>
      <c r="AH3463" s="116"/>
      <c r="AI3463" s="116"/>
    </row>
    <row r="3464" spans="27:35" ht="18">
      <c r="AA3464" s="116"/>
      <c r="AB3464" s="87"/>
      <c r="AC3464" s="116"/>
      <c r="AD3464" s="116"/>
      <c r="AE3464" s="116"/>
      <c r="AF3464" s="116"/>
      <c r="AG3464" s="116"/>
      <c r="AH3464" s="116"/>
      <c r="AI3464" s="116"/>
    </row>
    <row r="3465" spans="27:35" ht="18">
      <c r="AA3465" s="116"/>
      <c r="AB3465" s="87"/>
      <c r="AC3465" s="116"/>
      <c r="AD3465" s="116"/>
      <c r="AE3465" s="116"/>
      <c r="AF3465" s="116"/>
      <c r="AG3465" s="116"/>
      <c r="AH3465" s="116"/>
      <c r="AI3465" s="116"/>
    </row>
    <row r="3466" spans="27:35" ht="18">
      <c r="AA3466" s="116"/>
      <c r="AB3466" s="87"/>
      <c r="AC3466" s="116"/>
      <c r="AD3466" s="116"/>
      <c r="AE3466" s="116"/>
      <c r="AF3466" s="116"/>
      <c r="AG3466" s="116"/>
      <c r="AH3466" s="116"/>
      <c r="AI3466" s="116"/>
    </row>
    <row r="3467" spans="27:35" ht="18">
      <c r="AA3467" s="116"/>
      <c r="AB3467" s="87"/>
      <c r="AC3467" s="116"/>
      <c r="AD3467" s="116"/>
      <c r="AE3467" s="116"/>
      <c r="AF3467" s="116"/>
      <c r="AG3467" s="116"/>
      <c r="AH3467" s="116"/>
      <c r="AI3467" s="116"/>
    </row>
    <row r="3468" spans="27:35" ht="18">
      <c r="AA3468" s="116"/>
      <c r="AB3468" s="87"/>
      <c r="AC3468" s="116"/>
      <c r="AD3468" s="116"/>
      <c r="AE3468" s="116"/>
      <c r="AF3468" s="116"/>
      <c r="AG3468" s="116"/>
      <c r="AH3468" s="116"/>
      <c r="AI3468" s="116"/>
    </row>
    <row r="3469" spans="27:35" ht="18">
      <c r="AA3469" s="116"/>
      <c r="AB3469" s="87"/>
      <c r="AC3469" s="116"/>
      <c r="AD3469" s="116"/>
      <c r="AE3469" s="116"/>
      <c r="AF3469" s="116"/>
      <c r="AG3469" s="116"/>
      <c r="AH3469" s="116"/>
      <c r="AI3469" s="116"/>
    </row>
    <row r="3470" spans="27:35" ht="18">
      <c r="AA3470" s="116"/>
      <c r="AB3470" s="87"/>
      <c r="AC3470" s="116"/>
      <c r="AD3470" s="116"/>
      <c r="AE3470" s="116"/>
      <c r="AF3470" s="116"/>
      <c r="AG3470" s="116"/>
      <c r="AH3470" s="116"/>
      <c r="AI3470" s="116"/>
    </row>
    <row r="3471" spans="27:35" ht="18">
      <c r="AA3471" s="116"/>
      <c r="AB3471" s="87"/>
      <c r="AC3471" s="116"/>
      <c r="AD3471" s="116"/>
      <c r="AE3471" s="116"/>
      <c r="AF3471" s="116"/>
      <c r="AG3471" s="116"/>
      <c r="AH3471" s="116"/>
      <c r="AI3471" s="116"/>
    </row>
    <row r="3472" spans="27:35" ht="18">
      <c r="AA3472" s="116"/>
      <c r="AB3472" s="87"/>
      <c r="AC3472" s="116"/>
      <c r="AD3472" s="116"/>
      <c r="AE3472" s="116"/>
      <c r="AF3472" s="116"/>
      <c r="AG3472" s="116"/>
      <c r="AH3472" s="116"/>
      <c r="AI3472" s="116"/>
    </row>
    <row r="3473" spans="27:35" ht="18">
      <c r="AA3473" s="116"/>
      <c r="AB3473" s="87"/>
      <c r="AC3473" s="116"/>
      <c r="AD3473" s="116"/>
      <c r="AE3473" s="116"/>
      <c r="AF3473" s="116"/>
      <c r="AG3473" s="116"/>
      <c r="AH3473" s="116"/>
      <c r="AI3473" s="116"/>
    </row>
    <row r="3474" spans="27:35" ht="18">
      <c r="AA3474" s="116"/>
      <c r="AB3474" s="87"/>
      <c r="AC3474" s="116"/>
      <c r="AD3474" s="116"/>
      <c r="AE3474" s="116"/>
      <c r="AF3474" s="116"/>
      <c r="AG3474" s="116"/>
      <c r="AH3474" s="116"/>
      <c r="AI3474" s="116"/>
    </row>
    <row r="3475" spans="27:35" ht="18">
      <c r="AA3475" s="116"/>
      <c r="AB3475" s="87"/>
      <c r="AC3475" s="116"/>
      <c r="AD3475" s="116"/>
      <c r="AE3475" s="116"/>
      <c r="AF3475" s="116"/>
      <c r="AG3475" s="116"/>
      <c r="AH3475" s="116"/>
      <c r="AI3475" s="116"/>
    </row>
    <row r="3476" spans="27:35" ht="18">
      <c r="AA3476" s="116"/>
      <c r="AB3476" s="87"/>
      <c r="AC3476" s="116"/>
      <c r="AD3476" s="116"/>
      <c r="AE3476" s="116"/>
      <c r="AF3476" s="116"/>
      <c r="AG3476" s="116"/>
      <c r="AH3476" s="116"/>
      <c r="AI3476" s="116"/>
    </row>
    <row r="3477" spans="27:35" ht="18">
      <c r="AA3477" s="116"/>
      <c r="AB3477" s="87"/>
      <c r="AC3477" s="116"/>
      <c r="AD3477" s="116"/>
      <c r="AE3477" s="116"/>
      <c r="AF3477" s="116"/>
      <c r="AG3477" s="116"/>
      <c r="AH3477" s="116"/>
      <c r="AI3477" s="116"/>
    </row>
    <row r="3478" spans="27:35" ht="18">
      <c r="AA3478" s="116"/>
      <c r="AB3478" s="87"/>
      <c r="AC3478" s="116"/>
      <c r="AD3478" s="116"/>
      <c r="AE3478" s="116"/>
      <c r="AF3478" s="116"/>
      <c r="AG3478" s="116"/>
      <c r="AH3478" s="116"/>
      <c r="AI3478" s="116"/>
    </row>
    <row r="3479" spans="27:35" ht="18">
      <c r="AA3479" s="116"/>
      <c r="AB3479" s="87"/>
      <c r="AC3479" s="116"/>
      <c r="AD3479" s="116"/>
      <c r="AE3479" s="116"/>
      <c r="AF3479" s="116"/>
      <c r="AG3479" s="116"/>
      <c r="AH3479" s="116"/>
      <c r="AI3479" s="116"/>
    </row>
    <row r="3480" spans="27:35" ht="18">
      <c r="AA3480" s="116"/>
      <c r="AB3480" s="87"/>
      <c r="AC3480" s="116"/>
      <c r="AD3480" s="116"/>
      <c r="AE3480" s="116"/>
      <c r="AF3480" s="116"/>
      <c r="AG3480" s="116"/>
      <c r="AH3480" s="116"/>
      <c r="AI3480" s="116"/>
    </row>
    <row r="3481" spans="27:35" ht="18">
      <c r="AA3481" s="116"/>
      <c r="AB3481" s="184"/>
      <c r="AC3481" s="116"/>
      <c r="AD3481" s="116"/>
      <c r="AE3481" s="116"/>
      <c r="AF3481" s="116"/>
      <c r="AG3481" s="116"/>
      <c r="AH3481" s="116"/>
      <c r="AI3481" s="116"/>
    </row>
    <row r="3482" spans="27:35" ht="18">
      <c r="AA3482" s="116"/>
      <c r="AB3482" s="184"/>
      <c r="AC3482" s="116"/>
      <c r="AD3482" s="116"/>
      <c r="AE3482" s="116"/>
      <c r="AF3482" s="116"/>
      <c r="AG3482" s="116"/>
      <c r="AH3482" s="116"/>
      <c r="AI3482" s="116"/>
    </row>
    <row r="3483" spans="27:35" ht="18">
      <c r="AA3483" s="116"/>
      <c r="AB3483" s="87"/>
      <c r="AC3483" s="116"/>
      <c r="AD3483" s="116"/>
      <c r="AE3483" s="116"/>
      <c r="AF3483" s="116"/>
      <c r="AG3483" s="116"/>
      <c r="AH3483" s="116"/>
      <c r="AI3483" s="116"/>
    </row>
    <row r="3484" spans="27:35" ht="18">
      <c r="AA3484" s="116"/>
      <c r="AB3484" s="87"/>
      <c r="AC3484" s="116"/>
      <c r="AD3484" s="116"/>
      <c r="AE3484" s="116"/>
      <c r="AF3484" s="116"/>
      <c r="AG3484" s="116"/>
      <c r="AH3484" s="116"/>
      <c r="AI3484" s="116"/>
    </row>
    <row r="3485" spans="27:35" ht="18">
      <c r="AA3485" s="116"/>
      <c r="AB3485" s="87"/>
      <c r="AC3485" s="116"/>
      <c r="AD3485" s="116"/>
      <c r="AE3485" s="116"/>
      <c r="AF3485" s="116"/>
      <c r="AG3485" s="116"/>
      <c r="AH3485" s="116"/>
      <c r="AI3485" s="116"/>
    </row>
    <row r="3486" spans="27:35" ht="18">
      <c r="AA3486" s="116"/>
      <c r="AB3486" s="87"/>
      <c r="AC3486" s="116"/>
      <c r="AD3486" s="116"/>
      <c r="AE3486" s="116"/>
      <c r="AF3486" s="116"/>
      <c r="AG3486" s="116"/>
      <c r="AH3486" s="116"/>
      <c r="AI3486" s="116"/>
    </row>
    <row r="3487" spans="27:35" ht="18">
      <c r="AA3487" s="116"/>
      <c r="AB3487" s="87"/>
      <c r="AC3487" s="116"/>
      <c r="AD3487" s="116"/>
      <c r="AE3487" s="116"/>
      <c r="AF3487" s="116"/>
      <c r="AG3487" s="116"/>
      <c r="AH3487" s="116"/>
      <c r="AI3487" s="116"/>
    </row>
    <row r="3488" spans="27:35" ht="18">
      <c r="AA3488" s="116"/>
      <c r="AB3488" s="87"/>
      <c r="AC3488" s="116"/>
      <c r="AD3488" s="116"/>
      <c r="AE3488" s="116"/>
      <c r="AF3488" s="116"/>
      <c r="AG3488" s="116"/>
      <c r="AH3488" s="116"/>
      <c r="AI3488" s="116"/>
    </row>
    <row r="3489" spans="27:35" ht="18">
      <c r="AA3489" s="116"/>
      <c r="AB3489" s="87"/>
      <c r="AC3489" s="116"/>
      <c r="AD3489" s="116"/>
      <c r="AE3489" s="116"/>
      <c r="AF3489" s="116"/>
      <c r="AG3489" s="116"/>
      <c r="AH3489" s="116"/>
      <c r="AI3489" s="116"/>
    </row>
    <row r="3490" spans="27:35" ht="18">
      <c r="AA3490" s="116"/>
      <c r="AB3490" s="87"/>
      <c r="AC3490" s="116"/>
      <c r="AD3490" s="116"/>
      <c r="AE3490" s="116"/>
      <c r="AF3490" s="116"/>
      <c r="AG3490" s="116"/>
      <c r="AH3490" s="116"/>
      <c r="AI3490" s="116"/>
    </row>
    <row r="3491" spans="27:35" ht="18">
      <c r="AA3491" s="116"/>
      <c r="AB3491" s="87"/>
      <c r="AC3491" s="116"/>
      <c r="AD3491" s="116"/>
      <c r="AE3491" s="116"/>
      <c r="AF3491" s="116"/>
      <c r="AG3491" s="116"/>
      <c r="AH3491" s="116"/>
      <c r="AI3491" s="116"/>
    </row>
    <row r="3492" spans="27:35" ht="18">
      <c r="AA3492" s="116"/>
      <c r="AB3492" s="87"/>
      <c r="AC3492" s="116"/>
      <c r="AD3492" s="116"/>
      <c r="AE3492" s="116"/>
      <c r="AF3492" s="116"/>
      <c r="AG3492" s="116"/>
      <c r="AH3492" s="116"/>
      <c r="AI3492" s="116"/>
    </row>
    <row r="3493" spans="27:35" ht="18">
      <c r="AA3493" s="116"/>
      <c r="AB3493" s="87"/>
      <c r="AC3493" s="116"/>
      <c r="AD3493" s="116"/>
      <c r="AE3493" s="116"/>
      <c r="AF3493" s="116"/>
      <c r="AG3493" s="116"/>
      <c r="AH3493" s="116"/>
      <c r="AI3493" s="116"/>
    </row>
    <row r="3494" spans="27:35" ht="18">
      <c r="AA3494" s="116"/>
      <c r="AB3494" s="87"/>
      <c r="AC3494" s="116"/>
      <c r="AD3494" s="116"/>
      <c r="AE3494" s="116"/>
      <c r="AF3494" s="116"/>
      <c r="AG3494" s="116"/>
      <c r="AH3494" s="116"/>
      <c r="AI3494" s="116"/>
    </row>
    <row r="3495" spans="27:35" ht="18">
      <c r="AA3495" s="116"/>
      <c r="AB3495" s="87"/>
      <c r="AC3495" s="116"/>
      <c r="AD3495" s="116"/>
      <c r="AE3495" s="116"/>
      <c r="AF3495" s="116"/>
      <c r="AG3495" s="116"/>
      <c r="AH3495" s="116"/>
      <c r="AI3495" s="116"/>
    </row>
    <row r="3496" spans="27:35" ht="18">
      <c r="AA3496" s="116"/>
      <c r="AB3496" s="87"/>
      <c r="AC3496" s="116"/>
      <c r="AD3496" s="116"/>
      <c r="AE3496" s="116"/>
      <c r="AF3496" s="116"/>
      <c r="AG3496" s="116"/>
      <c r="AH3496" s="116"/>
      <c r="AI3496" s="116"/>
    </row>
    <row r="3497" spans="27:35" ht="18">
      <c r="AA3497" s="116"/>
      <c r="AB3497" s="87"/>
      <c r="AC3497" s="116"/>
      <c r="AD3497" s="116"/>
      <c r="AE3497" s="116"/>
      <c r="AF3497" s="116"/>
      <c r="AG3497" s="116"/>
      <c r="AH3497" s="116"/>
      <c r="AI3497" s="116"/>
    </row>
    <row r="3498" spans="27:35" ht="18">
      <c r="AA3498" s="116"/>
      <c r="AB3498" s="87"/>
      <c r="AC3498" s="116"/>
      <c r="AD3498" s="116"/>
      <c r="AE3498" s="116"/>
      <c r="AF3498" s="116"/>
      <c r="AG3498" s="116"/>
      <c r="AH3498" s="116"/>
      <c r="AI3498" s="116"/>
    </row>
    <row r="3499" spans="27:35" ht="18">
      <c r="AA3499" s="116"/>
      <c r="AB3499" s="87"/>
      <c r="AC3499" s="116"/>
      <c r="AD3499" s="116"/>
      <c r="AE3499" s="116"/>
      <c r="AF3499" s="116"/>
      <c r="AG3499" s="116"/>
      <c r="AH3499" s="116"/>
      <c r="AI3499" s="116"/>
    </row>
    <row r="3500" spans="27:35" ht="18">
      <c r="AA3500" s="116"/>
      <c r="AB3500" s="87"/>
      <c r="AC3500" s="116"/>
      <c r="AD3500" s="116"/>
      <c r="AE3500" s="116"/>
      <c r="AF3500" s="116"/>
      <c r="AG3500" s="116"/>
      <c r="AH3500" s="116"/>
      <c r="AI3500" s="116"/>
    </row>
    <row r="3501" spans="27:35" ht="18">
      <c r="AA3501" s="116"/>
      <c r="AB3501" s="87"/>
      <c r="AC3501" s="116"/>
      <c r="AD3501" s="116"/>
      <c r="AE3501" s="116"/>
      <c r="AF3501" s="116"/>
      <c r="AG3501" s="116"/>
      <c r="AH3501" s="116"/>
      <c r="AI3501" s="116"/>
    </row>
    <row r="3502" spans="27:35" ht="18">
      <c r="AA3502" s="116"/>
      <c r="AB3502" s="87"/>
      <c r="AC3502" s="116"/>
      <c r="AD3502" s="116"/>
      <c r="AE3502" s="116"/>
      <c r="AF3502" s="116"/>
      <c r="AG3502" s="116"/>
      <c r="AH3502" s="116"/>
      <c r="AI3502" s="116"/>
    </row>
    <row r="3503" spans="27:35" ht="18">
      <c r="AA3503" s="116"/>
      <c r="AB3503" s="87"/>
      <c r="AC3503" s="116"/>
      <c r="AD3503" s="116"/>
      <c r="AE3503" s="116"/>
      <c r="AF3503" s="116"/>
      <c r="AG3503" s="116"/>
      <c r="AH3503" s="116"/>
      <c r="AI3503" s="116"/>
    </row>
    <row r="3504" spans="27:35" ht="18">
      <c r="AA3504" s="116"/>
      <c r="AB3504" s="87"/>
      <c r="AC3504" s="116"/>
      <c r="AD3504" s="116"/>
      <c r="AE3504" s="116"/>
      <c r="AF3504" s="116"/>
      <c r="AG3504" s="116"/>
      <c r="AH3504" s="116"/>
      <c r="AI3504" s="116"/>
    </row>
    <row r="3505" spans="27:35" ht="18">
      <c r="AA3505" s="116"/>
      <c r="AB3505" s="87"/>
      <c r="AC3505" s="116"/>
      <c r="AD3505" s="116"/>
      <c r="AE3505" s="116"/>
      <c r="AF3505" s="116"/>
      <c r="AG3505" s="116"/>
      <c r="AH3505" s="116"/>
      <c r="AI3505" s="116"/>
    </row>
    <row r="3506" spans="27:35" ht="18">
      <c r="AA3506" s="116"/>
      <c r="AB3506" s="87"/>
      <c r="AC3506" s="116"/>
      <c r="AD3506" s="116"/>
      <c r="AE3506" s="116"/>
      <c r="AF3506" s="116"/>
      <c r="AG3506" s="116"/>
      <c r="AH3506" s="116"/>
      <c r="AI3506" s="116"/>
    </row>
    <row r="3507" spans="27:35" ht="18">
      <c r="AA3507" s="116"/>
      <c r="AB3507" s="184"/>
      <c r="AC3507" s="116"/>
      <c r="AD3507" s="116"/>
      <c r="AE3507" s="116"/>
      <c r="AF3507" s="116"/>
      <c r="AG3507" s="116"/>
      <c r="AH3507" s="116"/>
      <c r="AI3507" s="116"/>
    </row>
    <row r="3508" spans="27:35" ht="18">
      <c r="AA3508" s="116"/>
      <c r="AB3508" s="184"/>
      <c r="AC3508" s="116"/>
      <c r="AD3508" s="116"/>
      <c r="AE3508" s="116"/>
      <c r="AF3508" s="116"/>
      <c r="AG3508" s="116"/>
      <c r="AH3508" s="116"/>
      <c r="AI3508" s="116"/>
    </row>
    <row r="3509" spans="27:35" ht="18">
      <c r="AA3509" s="116"/>
      <c r="AB3509" s="87"/>
      <c r="AC3509" s="116"/>
      <c r="AD3509" s="116"/>
      <c r="AE3509" s="116"/>
      <c r="AF3509" s="116"/>
      <c r="AG3509" s="116"/>
      <c r="AH3509" s="116"/>
      <c r="AI3509" s="116"/>
    </row>
    <row r="3510" spans="27:35" ht="18">
      <c r="AA3510" s="116"/>
      <c r="AB3510" s="87"/>
      <c r="AC3510" s="116"/>
      <c r="AD3510" s="116"/>
      <c r="AE3510" s="116"/>
      <c r="AF3510" s="116"/>
      <c r="AG3510" s="116"/>
      <c r="AH3510" s="116"/>
      <c r="AI3510" s="116"/>
    </row>
    <row r="3511" spans="27:35" ht="18">
      <c r="AA3511" s="116"/>
      <c r="AB3511" s="87"/>
      <c r="AC3511" s="116"/>
      <c r="AD3511" s="116"/>
      <c r="AE3511" s="116"/>
      <c r="AF3511" s="116"/>
      <c r="AG3511" s="116"/>
      <c r="AH3511" s="116"/>
      <c r="AI3511" s="116"/>
    </row>
    <row r="3512" spans="27:35" ht="18">
      <c r="AA3512" s="116"/>
      <c r="AB3512" s="87"/>
      <c r="AC3512" s="116"/>
      <c r="AD3512" s="116"/>
      <c r="AE3512" s="116"/>
      <c r="AF3512" s="116"/>
      <c r="AG3512" s="116"/>
      <c r="AH3512" s="116"/>
      <c r="AI3512" s="116"/>
    </row>
    <row r="3513" spans="27:35" ht="18">
      <c r="AA3513" s="116"/>
      <c r="AB3513" s="87"/>
      <c r="AC3513" s="116"/>
      <c r="AD3513" s="116"/>
      <c r="AE3513" s="116"/>
      <c r="AF3513" s="116"/>
      <c r="AG3513" s="116"/>
      <c r="AH3513" s="116"/>
      <c r="AI3513" s="116"/>
    </row>
    <row r="3514" spans="27:35" ht="18">
      <c r="AA3514" s="116"/>
      <c r="AB3514" s="87"/>
      <c r="AC3514" s="116"/>
      <c r="AD3514" s="116"/>
      <c r="AE3514" s="116"/>
      <c r="AF3514" s="116"/>
      <c r="AG3514" s="116"/>
      <c r="AH3514" s="116"/>
      <c r="AI3514" s="116"/>
    </row>
    <row r="3515" spans="27:35" ht="18">
      <c r="AA3515" s="116"/>
      <c r="AB3515" s="87"/>
      <c r="AC3515" s="116"/>
      <c r="AD3515" s="116"/>
      <c r="AE3515" s="116"/>
      <c r="AF3515" s="116"/>
      <c r="AG3515" s="116"/>
      <c r="AH3515" s="116"/>
      <c r="AI3515" s="116"/>
    </row>
    <row r="3516" spans="27:35" ht="18">
      <c r="AA3516" s="116"/>
      <c r="AB3516" s="87"/>
      <c r="AC3516" s="116"/>
      <c r="AD3516" s="116"/>
      <c r="AE3516" s="116"/>
      <c r="AF3516" s="116"/>
      <c r="AG3516" s="116"/>
      <c r="AH3516" s="116"/>
      <c r="AI3516" s="116"/>
    </row>
    <row r="3517" spans="27:35" ht="18">
      <c r="AA3517" s="116"/>
      <c r="AB3517" s="87"/>
      <c r="AC3517" s="116"/>
      <c r="AD3517" s="116"/>
      <c r="AE3517" s="116"/>
      <c r="AF3517" s="116"/>
      <c r="AG3517" s="116"/>
      <c r="AH3517" s="116"/>
      <c r="AI3517" s="116"/>
    </row>
    <row r="3518" spans="27:35" ht="18">
      <c r="AA3518" s="116"/>
      <c r="AB3518" s="87"/>
      <c r="AC3518" s="116"/>
      <c r="AD3518" s="116"/>
      <c r="AE3518" s="116"/>
      <c r="AF3518" s="116"/>
      <c r="AG3518" s="116"/>
      <c r="AH3518" s="116"/>
      <c r="AI3518" s="116"/>
    </row>
    <row r="3519" spans="27:35" ht="18">
      <c r="AA3519" s="116"/>
      <c r="AB3519" s="184"/>
      <c r="AC3519" s="116"/>
      <c r="AD3519" s="116"/>
      <c r="AE3519" s="116"/>
      <c r="AF3519" s="116"/>
      <c r="AG3519" s="116"/>
      <c r="AH3519" s="116"/>
      <c r="AI3519" s="116"/>
    </row>
    <row r="3520" spans="27:35" ht="18">
      <c r="AA3520" s="116"/>
      <c r="AB3520" s="184"/>
      <c r="AC3520" s="116"/>
      <c r="AD3520" s="116"/>
      <c r="AE3520" s="116"/>
      <c r="AF3520" s="116"/>
      <c r="AG3520" s="116"/>
      <c r="AH3520" s="116"/>
      <c r="AI3520" s="116"/>
    </row>
    <row r="3521" spans="27:35" ht="18">
      <c r="AA3521" s="116"/>
      <c r="AB3521" s="87"/>
      <c r="AC3521" s="116"/>
      <c r="AD3521" s="116"/>
      <c r="AE3521" s="116"/>
      <c r="AF3521" s="116"/>
      <c r="AG3521" s="116"/>
      <c r="AH3521" s="116"/>
      <c r="AI3521" s="116"/>
    </row>
    <row r="3522" spans="27:35" ht="18">
      <c r="AA3522" s="116"/>
      <c r="AB3522" s="87"/>
      <c r="AC3522" s="116"/>
      <c r="AD3522" s="116"/>
      <c r="AE3522" s="116"/>
      <c r="AF3522" s="116"/>
      <c r="AG3522" s="116"/>
      <c r="AH3522" s="116"/>
      <c r="AI3522" s="116"/>
    </row>
    <row r="3523" spans="27:35" ht="18">
      <c r="AA3523" s="116"/>
      <c r="AB3523" s="87"/>
      <c r="AC3523" s="116"/>
      <c r="AD3523" s="116"/>
      <c r="AE3523" s="116"/>
      <c r="AF3523" s="116"/>
      <c r="AG3523" s="116"/>
      <c r="AH3523" s="116"/>
      <c r="AI3523" s="116"/>
    </row>
    <row r="3524" spans="27:35" ht="18">
      <c r="AA3524" s="116"/>
      <c r="AB3524" s="87"/>
      <c r="AC3524" s="116"/>
      <c r="AD3524" s="116"/>
      <c r="AE3524" s="116"/>
      <c r="AF3524" s="116"/>
      <c r="AG3524" s="116"/>
      <c r="AH3524" s="116"/>
      <c r="AI3524" s="116"/>
    </row>
    <row r="3525" spans="27:35" ht="18">
      <c r="AA3525" s="116"/>
      <c r="AB3525" s="87"/>
      <c r="AC3525" s="116"/>
      <c r="AD3525" s="116"/>
      <c r="AE3525" s="116"/>
      <c r="AF3525" s="116"/>
      <c r="AG3525" s="116"/>
      <c r="AH3525" s="116"/>
      <c r="AI3525" s="116"/>
    </row>
    <row r="3526" spans="27:35" ht="18">
      <c r="AA3526" s="116"/>
      <c r="AB3526" s="87"/>
      <c r="AC3526" s="116"/>
      <c r="AD3526" s="116"/>
      <c r="AE3526" s="116"/>
      <c r="AF3526" s="116"/>
      <c r="AG3526" s="116"/>
      <c r="AH3526" s="116"/>
      <c r="AI3526" s="116"/>
    </row>
    <row r="3527" spans="27:35" ht="18">
      <c r="AA3527" s="116"/>
      <c r="AB3527" s="87"/>
      <c r="AC3527" s="116"/>
      <c r="AD3527" s="116"/>
      <c r="AE3527" s="116"/>
      <c r="AF3527" s="116"/>
      <c r="AG3527" s="116"/>
      <c r="AH3527" s="116"/>
      <c r="AI3527" s="116"/>
    </row>
    <row r="3528" spans="27:35" ht="18">
      <c r="AA3528" s="116"/>
      <c r="AB3528" s="87"/>
      <c r="AC3528" s="116"/>
      <c r="AD3528" s="116"/>
      <c r="AE3528" s="116"/>
      <c r="AF3528" s="116"/>
      <c r="AG3528" s="116"/>
      <c r="AH3528" s="116"/>
      <c r="AI3528" s="116"/>
    </row>
    <row r="3529" spans="27:35" ht="18">
      <c r="AA3529" s="116"/>
      <c r="AB3529" s="87"/>
      <c r="AC3529" s="116"/>
      <c r="AD3529" s="116"/>
      <c r="AE3529" s="116"/>
      <c r="AF3529" s="116"/>
      <c r="AG3529" s="116"/>
      <c r="AH3529" s="116"/>
      <c r="AI3529" s="116"/>
    </row>
    <row r="3530" spans="27:35" ht="18">
      <c r="AA3530" s="116"/>
      <c r="AB3530" s="87"/>
      <c r="AC3530" s="116"/>
      <c r="AD3530" s="116"/>
      <c r="AE3530" s="116"/>
      <c r="AF3530" s="116"/>
      <c r="AG3530" s="116"/>
      <c r="AH3530" s="116"/>
      <c r="AI3530" s="116"/>
    </row>
    <row r="3531" spans="27:35" ht="18">
      <c r="AA3531" s="116"/>
      <c r="AB3531" s="87"/>
      <c r="AC3531" s="116"/>
      <c r="AD3531" s="116"/>
      <c r="AE3531" s="116"/>
      <c r="AF3531" s="116"/>
      <c r="AG3531" s="116"/>
      <c r="AH3531" s="116"/>
      <c r="AI3531" s="116"/>
    </row>
    <row r="3532" spans="27:35" ht="18">
      <c r="AA3532" s="116"/>
      <c r="AB3532" s="87"/>
      <c r="AC3532" s="116"/>
      <c r="AD3532" s="116"/>
      <c r="AE3532" s="116"/>
      <c r="AF3532" s="116"/>
      <c r="AG3532" s="116"/>
      <c r="AH3532" s="116"/>
      <c r="AI3532" s="116"/>
    </row>
    <row r="3533" spans="27:35" ht="18">
      <c r="AA3533" s="116"/>
      <c r="AB3533" s="87"/>
      <c r="AC3533" s="116"/>
      <c r="AD3533" s="116"/>
      <c r="AE3533" s="116"/>
      <c r="AF3533" s="116"/>
      <c r="AG3533" s="116"/>
      <c r="AH3533" s="116"/>
      <c r="AI3533" s="116"/>
    </row>
    <row r="3534" spans="27:35" ht="18">
      <c r="AA3534" s="116"/>
      <c r="AB3534" s="87"/>
      <c r="AC3534" s="116"/>
      <c r="AD3534" s="116"/>
      <c r="AE3534" s="116"/>
      <c r="AF3534" s="116"/>
      <c r="AG3534" s="116"/>
      <c r="AH3534" s="116"/>
      <c r="AI3534" s="116"/>
    </row>
    <row r="3535" spans="27:35" ht="18">
      <c r="AA3535" s="116"/>
      <c r="AB3535" s="87"/>
      <c r="AC3535" s="116"/>
      <c r="AD3535" s="116"/>
      <c r="AE3535" s="116"/>
      <c r="AF3535" s="116"/>
      <c r="AG3535" s="116"/>
      <c r="AH3535" s="116"/>
      <c r="AI3535" s="116"/>
    </row>
    <row r="3536" spans="27:35" ht="18">
      <c r="AA3536" s="116"/>
      <c r="AB3536" s="87"/>
      <c r="AC3536" s="116"/>
      <c r="AD3536" s="116"/>
      <c r="AE3536" s="116"/>
      <c r="AF3536" s="116"/>
      <c r="AG3536" s="116"/>
      <c r="AH3536" s="116"/>
      <c r="AI3536" s="116"/>
    </row>
    <row r="3537" spans="27:35" ht="18">
      <c r="AA3537" s="116"/>
      <c r="AB3537" s="87"/>
      <c r="AC3537" s="116"/>
      <c r="AD3537" s="116"/>
      <c r="AE3537" s="116"/>
      <c r="AF3537" s="116"/>
      <c r="AG3537" s="116"/>
      <c r="AH3537" s="116"/>
      <c r="AI3537" s="116"/>
    </row>
    <row r="3538" spans="27:35" ht="18">
      <c r="AA3538" s="116"/>
      <c r="AB3538" s="87"/>
      <c r="AC3538" s="116"/>
      <c r="AD3538" s="116"/>
      <c r="AE3538" s="116"/>
      <c r="AF3538" s="116"/>
      <c r="AG3538" s="116"/>
      <c r="AH3538" s="116"/>
      <c r="AI3538" s="116"/>
    </row>
    <row r="3539" spans="27:35" ht="18">
      <c r="AA3539" s="116"/>
      <c r="AB3539" s="87"/>
      <c r="AC3539" s="116"/>
      <c r="AD3539" s="116"/>
      <c r="AE3539" s="116"/>
      <c r="AF3539" s="116"/>
      <c r="AG3539" s="116"/>
      <c r="AH3539" s="116"/>
      <c r="AI3539" s="116"/>
    </row>
    <row r="3540" spans="27:35" ht="18">
      <c r="AA3540" s="116"/>
      <c r="AB3540" s="87"/>
      <c r="AC3540" s="116"/>
      <c r="AD3540" s="116"/>
      <c r="AE3540" s="116"/>
      <c r="AF3540" s="116"/>
      <c r="AG3540" s="116"/>
      <c r="AH3540" s="116"/>
      <c r="AI3540" s="116"/>
    </row>
    <row r="3541" spans="27:35" ht="18">
      <c r="AA3541" s="116"/>
      <c r="AB3541" s="87"/>
      <c r="AC3541" s="116"/>
      <c r="AD3541" s="116"/>
      <c r="AE3541" s="116"/>
      <c r="AF3541" s="116"/>
      <c r="AG3541" s="116"/>
      <c r="AH3541" s="116"/>
      <c r="AI3541" s="116"/>
    </row>
    <row r="3542" spans="27:35" ht="18">
      <c r="AA3542" s="116"/>
      <c r="AB3542" s="87"/>
      <c r="AC3542" s="116"/>
      <c r="AD3542" s="116"/>
      <c r="AE3542" s="116"/>
      <c r="AF3542" s="116"/>
      <c r="AG3542" s="116"/>
      <c r="AH3542" s="116"/>
      <c r="AI3542" s="116"/>
    </row>
    <row r="3543" spans="27:35" ht="18">
      <c r="AA3543" s="116"/>
      <c r="AB3543" s="87"/>
      <c r="AC3543" s="116"/>
      <c r="AD3543" s="116"/>
      <c r="AE3543" s="116"/>
      <c r="AF3543" s="116"/>
      <c r="AG3543" s="116"/>
      <c r="AH3543" s="116"/>
      <c r="AI3543" s="116"/>
    </row>
    <row r="3544" spans="27:35" ht="18">
      <c r="AA3544" s="116"/>
      <c r="AB3544" s="184"/>
      <c r="AC3544" s="116"/>
      <c r="AD3544" s="116"/>
      <c r="AE3544" s="116"/>
      <c r="AF3544" s="116"/>
      <c r="AG3544" s="116"/>
      <c r="AH3544" s="116"/>
      <c r="AI3544" s="116"/>
    </row>
    <row r="3545" spans="27:35" ht="18">
      <c r="AA3545" s="116"/>
      <c r="AB3545" s="87"/>
      <c r="AC3545" s="116"/>
      <c r="AD3545" s="116"/>
      <c r="AE3545" s="116"/>
      <c r="AF3545" s="116"/>
      <c r="AG3545" s="116"/>
      <c r="AH3545" s="116"/>
      <c r="AI3545" s="116"/>
    </row>
    <row r="3546" spans="27:35" ht="18">
      <c r="AA3546" s="116"/>
      <c r="AB3546" s="87"/>
      <c r="AC3546" s="116"/>
      <c r="AD3546" s="116"/>
      <c r="AE3546" s="116"/>
      <c r="AF3546" s="116"/>
      <c r="AG3546" s="116"/>
      <c r="AH3546" s="116"/>
      <c r="AI3546" s="116"/>
    </row>
    <row r="3547" spans="27:35" ht="18">
      <c r="AA3547" s="116"/>
      <c r="AB3547" s="87"/>
      <c r="AC3547" s="116"/>
      <c r="AD3547" s="116"/>
      <c r="AE3547" s="116"/>
      <c r="AF3547" s="116"/>
      <c r="AG3547" s="116"/>
      <c r="AH3547" s="116"/>
      <c r="AI3547" s="116"/>
    </row>
    <row r="3548" spans="27:35" ht="18">
      <c r="AA3548" s="116"/>
      <c r="AB3548" s="87"/>
      <c r="AC3548" s="116"/>
      <c r="AD3548" s="116"/>
      <c r="AE3548" s="116"/>
      <c r="AF3548" s="116"/>
      <c r="AG3548" s="116"/>
      <c r="AH3548" s="116"/>
      <c r="AI3548" s="116"/>
    </row>
    <row r="3549" spans="27:35" ht="18">
      <c r="AA3549" s="116"/>
      <c r="AB3549" s="87"/>
      <c r="AC3549" s="116"/>
      <c r="AD3549" s="116"/>
      <c r="AE3549" s="116"/>
      <c r="AF3549" s="116"/>
      <c r="AG3549" s="116"/>
      <c r="AH3549" s="116"/>
      <c r="AI3549" s="116"/>
    </row>
    <row r="3550" spans="27:35" ht="18">
      <c r="AA3550" s="116"/>
      <c r="AB3550" s="87"/>
      <c r="AC3550" s="116"/>
      <c r="AD3550" s="116"/>
      <c r="AE3550" s="116"/>
      <c r="AF3550" s="116"/>
      <c r="AG3550" s="116"/>
      <c r="AH3550" s="116"/>
      <c r="AI3550" s="116"/>
    </row>
    <row r="3551" spans="27:35" ht="18">
      <c r="AA3551" s="116"/>
      <c r="AB3551" s="87"/>
      <c r="AC3551" s="116"/>
      <c r="AD3551" s="116"/>
      <c r="AE3551" s="116"/>
      <c r="AF3551" s="116"/>
      <c r="AG3551" s="116"/>
      <c r="AH3551" s="116"/>
      <c r="AI3551" s="116"/>
    </row>
    <row r="3552" spans="27:35" ht="18">
      <c r="AA3552" s="116"/>
      <c r="AB3552" s="184"/>
      <c r="AC3552" s="116"/>
      <c r="AD3552" s="116"/>
      <c r="AE3552" s="116"/>
      <c r="AF3552" s="116"/>
      <c r="AG3552" s="116"/>
      <c r="AH3552" s="116"/>
      <c r="AI3552" s="116"/>
    </row>
    <row r="3553" spans="27:35" ht="18">
      <c r="AA3553" s="116"/>
      <c r="AB3553" s="87"/>
      <c r="AC3553" s="116"/>
      <c r="AD3553" s="116"/>
      <c r="AE3553" s="116"/>
      <c r="AF3553" s="116"/>
      <c r="AG3553" s="116"/>
      <c r="AH3553" s="116"/>
      <c r="AI3553" s="116"/>
    </row>
    <row r="3554" spans="27:35" ht="18">
      <c r="AA3554" s="116"/>
      <c r="AB3554" s="87"/>
      <c r="AC3554" s="116"/>
      <c r="AD3554" s="116"/>
      <c r="AE3554" s="116"/>
      <c r="AF3554" s="116"/>
      <c r="AG3554" s="116"/>
      <c r="AH3554" s="116"/>
      <c r="AI3554" s="116"/>
    </row>
    <row r="3555" spans="27:35" ht="18">
      <c r="AA3555" s="116"/>
      <c r="AB3555" s="87"/>
      <c r="AC3555" s="116"/>
      <c r="AD3555" s="116"/>
      <c r="AE3555" s="116"/>
      <c r="AF3555" s="116"/>
      <c r="AG3555" s="116"/>
      <c r="AH3555" s="116"/>
      <c r="AI3555" s="116"/>
    </row>
    <row r="3556" spans="27:35" ht="18">
      <c r="AA3556" s="116"/>
      <c r="AB3556" s="87"/>
      <c r="AC3556" s="116"/>
      <c r="AD3556" s="116"/>
      <c r="AE3556" s="116"/>
      <c r="AF3556" s="116"/>
      <c r="AG3556" s="116"/>
      <c r="AH3556" s="116"/>
      <c r="AI3556" s="116"/>
    </row>
    <row r="3557" spans="27:35" ht="18">
      <c r="AA3557" s="116"/>
      <c r="AB3557" s="87"/>
      <c r="AC3557" s="116"/>
      <c r="AD3557" s="116"/>
      <c r="AE3557" s="116"/>
      <c r="AF3557" s="116"/>
      <c r="AG3557" s="116"/>
      <c r="AH3557" s="116"/>
      <c r="AI3557" s="116"/>
    </row>
    <row r="3558" spans="27:35" ht="18">
      <c r="AA3558" s="116"/>
      <c r="AB3558" s="87"/>
      <c r="AC3558" s="116"/>
      <c r="AD3558" s="116"/>
      <c r="AE3558" s="116"/>
      <c r="AF3558" s="116"/>
      <c r="AG3558" s="116"/>
      <c r="AH3558" s="116"/>
      <c r="AI3558" s="116"/>
    </row>
    <row r="3559" spans="27:35" ht="18">
      <c r="AA3559" s="116"/>
      <c r="AB3559" s="87"/>
      <c r="AC3559" s="116"/>
      <c r="AD3559" s="116"/>
      <c r="AE3559" s="116"/>
      <c r="AF3559" s="116"/>
      <c r="AG3559" s="116"/>
      <c r="AH3559" s="116"/>
      <c r="AI3559" s="116"/>
    </row>
    <row r="3560" spans="27:35" ht="18">
      <c r="AA3560" s="116"/>
      <c r="AB3560" s="87"/>
      <c r="AC3560" s="116"/>
      <c r="AD3560" s="116"/>
      <c r="AE3560" s="116"/>
      <c r="AF3560" s="116"/>
      <c r="AG3560" s="116"/>
      <c r="AH3560" s="116"/>
      <c r="AI3560" s="116"/>
    </row>
    <row r="3561" spans="27:35" ht="18">
      <c r="AA3561" s="116"/>
      <c r="AB3561" s="87"/>
      <c r="AC3561" s="116"/>
      <c r="AD3561" s="116"/>
      <c r="AE3561" s="116"/>
      <c r="AF3561" s="116"/>
      <c r="AG3561" s="116"/>
      <c r="AH3561" s="116"/>
      <c r="AI3561" s="116"/>
    </row>
    <row r="3562" spans="27:35" ht="18">
      <c r="AA3562" s="116"/>
      <c r="AB3562" s="87"/>
      <c r="AC3562" s="116"/>
      <c r="AD3562" s="116"/>
      <c r="AE3562" s="116"/>
      <c r="AF3562" s="116"/>
      <c r="AG3562" s="116"/>
      <c r="AH3562" s="116"/>
      <c r="AI3562" s="116"/>
    </row>
    <row r="3563" spans="27:35" ht="18">
      <c r="AA3563" s="116"/>
      <c r="AB3563" s="87"/>
      <c r="AC3563" s="116"/>
      <c r="AD3563" s="116"/>
      <c r="AE3563" s="116"/>
      <c r="AF3563" s="116"/>
      <c r="AG3563" s="116"/>
      <c r="AH3563" s="116"/>
      <c r="AI3563" s="116"/>
    </row>
    <row r="3564" spans="27:35" ht="18">
      <c r="AA3564" s="116"/>
      <c r="AB3564" s="87"/>
      <c r="AC3564" s="116"/>
      <c r="AD3564" s="116"/>
      <c r="AE3564" s="116"/>
      <c r="AF3564" s="116"/>
      <c r="AG3564" s="116"/>
      <c r="AH3564" s="116"/>
      <c r="AI3564" s="116"/>
    </row>
    <row r="3565" spans="27:35" ht="18">
      <c r="AA3565" s="116"/>
      <c r="AB3565" s="87"/>
      <c r="AC3565" s="116"/>
      <c r="AD3565" s="116"/>
      <c r="AE3565" s="116"/>
      <c r="AF3565" s="116"/>
      <c r="AG3565" s="116"/>
      <c r="AH3565" s="116"/>
      <c r="AI3565" s="116"/>
    </row>
    <row r="3566" spans="27:35" ht="18">
      <c r="AA3566" s="116"/>
      <c r="AB3566" s="87"/>
      <c r="AC3566" s="116"/>
      <c r="AD3566" s="116"/>
      <c r="AE3566" s="116"/>
      <c r="AF3566" s="116"/>
      <c r="AG3566" s="116"/>
      <c r="AH3566" s="116"/>
      <c r="AI3566" s="116"/>
    </row>
    <row r="3567" spans="27:35" ht="18">
      <c r="AA3567" s="116"/>
      <c r="AB3567" s="184"/>
      <c r="AC3567" s="116"/>
      <c r="AD3567" s="116"/>
      <c r="AE3567" s="116"/>
      <c r="AF3567" s="116"/>
      <c r="AG3567" s="116"/>
      <c r="AH3567" s="116"/>
      <c r="AI3567" s="116"/>
    </row>
    <row r="3568" spans="27:35" ht="18">
      <c r="AA3568" s="116"/>
      <c r="AB3568" s="87"/>
      <c r="AC3568" s="116"/>
      <c r="AD3568" s="116"/>
      <c r="AE3568" s="116"/>
      <c r="AF3568" s="116"/>
      <c r="AG3568" s="116"/>
      <c r="AH3568" s="116"/>
      <c r="AI3568" s="116"/>
    </row>
    <row r="3569" spans="27:35" ht="18">
      <c r="AA3569" s="116"/>
      <c r="AB3569" s="87"/>
      <c r="AC3569" s="116"/>
      <c r="AD3569" s="116"/>
      <c r="AE3569" s="116"/>
      <c r="AF3569" s="116"/>
      <c r="AG3569" s="116"/>
      <c r="AH3569" s="116"/>
      <c r="AI3569" s="116"/>
    </row>
    <row r="3570" spans="27:35" ht="18">
      <c r="AA3570" s="116"/>
      <c r="AB3570" s="87"/>
      <c r="AC3570" s="116"/>
      <c r="AD3570" s="116"/>
      <c r="AE3570" s="116"/>
      <c r="AF3570" s="116"/>
      <c r="AG3570" s="116"/>
      <c r="AH3570" s="116"/>
      <c r="AI3570" s="116"/>
    </row>
    <row r="3571" spans="27:35" ht="18">
      <c r="AA3571" s="116"/>
      <c r="AB3571" s="87"/>
      <c r="AC3571" s="116"/>
      <c r="AD3571" s="116"/>
      <c r="AE3571" s="116"/>
      <c r="AF3571" s="116"/>
      <c r="AG3571" s="116"/>
      <c r="AH3571" s="116"/>
      <c r="AI3571" s="116"/>
    </row>
    <row r="3572" spans="27:35" ht="18">
      <c r="AA3572" s="116"/>
      <c r="AB3572" s="87"/>
      <c r="AC3572" s="116"/>
      <c r="AD3572" s="116"/>
      <c r="AE3572" s="116"/>
      <c r="AF3572" s="116"/>
      <c r="AG3572" s="116"/>
      <c r="AH3572" s="116"/>
      <c r="AI3572" s="116"/>
    </row>
    <row r="3573" spans="27:35" ht="18">
      <c r="AA3573" s="116"/>
      <c r="AB3573" s="184"/>
      <c r="AC3573" s="116"/>
      <c r="AD3573" s="116"/>
      <c r="AE3573" s="116"/>
      <c r="AF3573" s="116"/>
      <c r="AG3573" s="116"/>
      <c r="AH3573" s="116"/>
      <c r="AI3573" s="116"/>
    </row>
    <row r="3574" spans="27:35" ht="18">
      <c r="AA3574" s="116"/>
      <c r="AB3574" s="87"/>
      <c r="AC3574" s="116"/>
      <c r="AD3574" s="116"/>
      <c r="AE3574" s="116"/>
      <c r="AF3574" s="116"/>
      <c r="AG3574" s="116"/>
      <c r="AH3574" s="116"/>
      <c r="AI3574" s="116"/>
    </row>
    <row r="3575" spans="27:35" ht="18">
      <c r="AA3575" s="116"/>
      <c r="AB3575" s="87"/>
      <c r="AC3575" s="116"/>
      <c r="AD3575" s="116"/>
      <c r="AE3575" s="116"/>
      <c r="AF3575" s="116"/>
      <c r="AG3575" s="116"/>
      <c r="AH3575" s="116"/>
      <c r="AI3575" s="116"/>
    </row>
    <row r="3576" spans="27:35" ht="18">
      <c r="AA3576" s="116"/>
      <c r="AB3576" s="87"/>
      <c r="AC3576" s="116"/>
      <c r="AD3576" s="116"/>
      <c r="AE3576" s="116"/>
      <c r="AF3576" s="116"/>
      <c r="AG3576" s="116"/>
      <c r="AH3576" s="116"/>
      <c r="AI3576" s="116"/>
    </row>
    <row r="3577" spans="27:35" ht="18">
      <c r="AA3577" s="116"/>
      <c r="AB3577" s="87"/>
      <c r="AC3577" s="116"/>
      <c r="AD3577" s="116"/>
      <c r="AE3577" s="116"/>
      <c r="AF3577" s="116"/>
      <c r="AG3577" s="116"/>
      <c r="AH3577" s="116"/>
      <c r="AI3577" s="116"/>
    </row>
    <row r="3578" spans="27:35" ht="18">
      <c r="AA3578" s="116"/>
      <c r="AB3578" s="87"/>
      <c r="AC3578" s="116"/>
      <c r="AD3578" s="116"/>
      <c r="AE3578" s="116"/>
      <c r="AF3578" s="116"/>
      <c r="AG3578" s="116"/>
      <c r="AH3578" s="116"/>
      <c r="AI3578" s="116"/>
    </row>
    <row r="3579" spans="27:35" ht="18">
      <c r="AA3579" s="116"/>
      <c r="AB3579" s="87"/>
      <c r="AC3579" s="116"/>
      <c r="AD3579" s="116"/>
      <c r="AE3579" s="116"/>
      <c r="AF3579" s="116"/>
      <c r="AG3579" s="116"/>
      <c r="AH3579" s="116"/>
      <c r="AI3579" s="116"/>
    </row>
    <row r="3580" spans="27:35" ht="18">
      <c r="AA3580" s="116"/>
      <c r="AB3580" s="87"/>
      <c r="AC3580" s="116"/>
      <c r="AD3580" s="116"/>
      <c r="AE3580" s="116"/>
      <c r="AF3580" s="116"/>
      <c r="AG3580" s="116"/>
      <c r="AH3580" s="116"/>
      <c r="AI3580" s="116"/>
    </row>
    <row r="3581" spans="27:35" ht="18">
      <c r="AA3581" s="116"/>
      <c r="AB3581" s="87"/>
      <c r="AC3581" s="116"/>
      <c r="AD3581" s="116"/>
      <c r="AE3581" s="116"/>
      <c r="AF3581" s="116"/>
      <c r="AG3581" s="116"/>
      <c r="AH3581" s="116"/>
      <c r="AI3581" s="116"/>
    </row>
    <row r="3582" spans="27:35" ht="18">
      <c r="AA3582" s="116"/>
      <c r="AB3582" s="184"/>
      <c r="AC3582" s="116"/>
      <c r="AD3582" s="116"/>
      <c r="AE3582" s="116"/>
      <c r="AF3582" s="116"/>
      <c r="AG3582" s="116"/>
      <c r="AH3582" s="116"/>
      <c r="AI3582" s="116"/>
    </row>
    <row r="3583" spans="27:35" ht="18">
      <c r="AA3583" s="116"/>
      <c r="AB3583" s="184"/>
      <c r="AC3583" s="116"/>
      <c r="AD3583" s="116"/>
      <c r="AE3583" s="116"/>
      <c r="AF3583" s="116"/>
      <c r="AG3583" s="116"/>
      <c r="AH3583" s="116"/>
      <c r="AI3583" s="116"/>
    </row>
    <row r="3584" spans="27:35" ht="18">
      <c r="AA3584" s="116"/>
      <c r="AB3584" s="87"/>
      <c r="AC3584" s="116"/>
      <c r="AD3584" s="116"/>
      <c r="AE3584" s="116"/>
      <c r="AF3584" s="116"/>
      <c r="AG3584" s="116"/>
      <c r="AH3584" s="116"/>
      <c r="AI3584" s="116"/>
    </row>
    <row r="3585" spans="27:35" ht="18">
      <c r="AA3585" s="116"/>
      <c r="AB3585" s="87"/>
      <c r="AC3585" s="116"/>
      <c r="AD3585" s="116"/>
      <c r="AE3585" s="116"/>
      <c r="AF3585" s="116"/>
      <c r="AG3585" s="116"/>
      <c r="AH3585" s="116"/>
      <c r="AI3585" s="116"/>
    </row>
    <row r="3586" spans="27:35" ht="18">
      <c r="AA3586" s="116"/>
      <c r="AB3586" s="87"/>
      <c r="AC3586" s="116"/>
      <c r="AD3586" s="116"/>
      <c r="AE3586" s="116"/>
      <c r="AF3586" s="116"/>
      <c r="AG3586" s="116"/>
      <c r="AH3586" s="116"/>
      <c r="AI3586" s="116"/>
    </row>
    <row r="3587" spans="27:35" ht="18">
      <c r="AA3587" s="116"/>
      <c r="AB3587" s="87"/>
      <c r="AC3587" s="116"/>
      <c r="AD3587" s="116"/>
      <c r="AE3587" s="116"/>
      <c r="AF3587" s="116"/>
      <c r="AG3587" s="116"/>
      <c r="AH3587" s="116"/>
      <c r="AI3587" s="116"/>
    </row>
    <row r="3588" spans="27:35" ht="18">
      <c r="AA3588" s="116"/>
      <c r="AB3588" s="87"/>
      <c r="AC3588" s="116"/>
      <c r="AD3588" s="116"/>
      <c r="AE3588" s="116"/>
      <c r="AF3588" s="116"/>
      <c r="AG3588" s="116"/>
      <c r="AH3588" s="116"/>
      <c r="AI3588" s="116"/>
    </row>
    <row r="3589" spans="27:35" ht="18">
      <c r="AA3589" s="116"/>
      <c r="AB3589" s="184"/>
      <c r="AC3589" s="116"/>
      <c r="AD3589" s="116"/>
      <c r="AE3589" s="116"/>
      <c r="AF3589" s="116"/>
      <c r="AG3589" s="116"/>
      <c r="AH3589" s="116"/>
      <c r="AI3589" s="116"/>
    </row>
    <row r="3590" spans="27:35" ht="18">
      <c r="AA3590" s="116"/>
      <c r="AB3590" s="184"/>
      <c r="AC3590" s="116"/>
      <c r="AD3590" s="116"/>
      <c r="AE3590" s="116"/>
      <c r="AF3590" s="116"/>
      <c r="AG3590" s="116"/>
      <c r="AH3590" s="116"/>
      <c r="AI3590" s="116"/>
    </row>
    <row r="3591" spans="27:35" ht="18">
      <c r="AA3591" s="116"/>
      <c r="AB3591" s="87"/>
      <c r="AC3591" s="116"/>
      <c r="AD3591" s="116"/>
      <c r="AE3591" s="116"/>
      <c r="AF3591" s="116"/>
      <c r="AG3591" s="116"/>
      <c r="AH3591" s="116"/>
      <c r="AI3591" s="116"/>
    </row>
    <row r="3592" spans="27:35" ht="18">
      <c r="AA3592" s="116"/>
      <c r="AB3592" s="87"/>
      <c r="AC3592" s="116"/>
      <c r="AD3592" s="116"/>
      <c r="AE3592" s="116"/>
      <c r="AF3592" s="116"/>
      <c r="AG3592" s="116"/>
      <c r="AH3592" s="116"/>
      <c r="AI3592" s="116"/>
    </row>
    <row r="3593" spans="27:35" ht="18">
      <c r="AA3593" s="116"/>
      <c r="AB3593" s="87"/>
      <c r="AC3593" s="116"/>
      <c r="AD3593" s="116"/>
      <c r="AE3593" s="116"/>
      <c r="AF3593" s="116"/>
      <c r="AG3593" s="116"/>
      <c r="AH3593" s="116"/>
      <c r="AI3593" s="116"/>
    </row>
    <row r="3594" spans="27:35" ht="18">
      <c r="AA3594" s="116"/>
      <c r="AB3594" s="87"/>
      <c r="AC3594" s="116"/>
      <c r="AD3594" s="116"/>
      <c r="AE3594" s="116"/>
      <c r="AF3594" s="116"/>
      <c r="AG3594" s="116"/>
      <c r="AH3594" s="116"/>
      <c r="AI3594" s="116"/>
    </row>
    <row r="3595" spans="27:35" ht="18">
      <c r="AA3595" s="116"/>
      <c r="AB3595" s="87"/>
      <c r="AC3595" s="116"/>
      <c r="AD3595" s="116"/>
      <c r="AE3595" s="116"/>
      <c r="AF3595" s="116"/>
      <c r="AG3595" s="116"/>
      <c r="AH3595" s="116"/>
      <c r="AI3595" s="116"/>
    </row>
    <row r="3596" spans="27:35" ht="18">
      <c r="AA3596" s="116"/>
      <c r="AB3596" s="87"/>
      <c r="AC3596" s="116"/>
      <c r="AD3596" s="116"/>
      <c r="AE3596" s="116"/>
      <c r="AF3596" s="116"/>
      <c r="AG3596" s="116"/>
      <c r="AH3596" s="116"/>
      <c r="AI3596" s="116"/>
    </row>
    <row r="3597" spans="27:35" ht="18">
      <c r="AA3597" s="116"/>
      <c r="AB3597" s="87"/>
      <c r="AC3597" s="116"/>
      <c r="AD3597" s="116"/>
      <c r="AE3597" s="116"/>
      <c r="AF3597" s="116"/>
      <c r="AG3597" s="116"/>
      <c r="AH3597" s="116"/>
      <c r="AI3597" s="116"/>
    </row>
    <row r="3598" spans="27:35" ht="18">
      <c r="AA3598" s="116"/>
      <c r="AB3598" s="184"/>
      <c r="AC3598" s="116"/>
      <c r="AD3598" s="116"/>
      <c r="AE3598" s="116"/>
      <c r="AF3598" s="116"/>
      <c r="AG3598" s="116"/>
      <c r="AH3598" s="116"/>
      <c r="AI3598" s="116"/>
    </row>
    <row r="3599" spans="27:35" ht="18">
      <c r="AA3599" s="116"/>
      <c r="AB3599" s="184"/>
      <c r="AC3599" s="116"/>
      <c r="AD3599" s="116"/>
      <c r="AE3599" s="116"/>
      <c r="AF3599" s="116"/>
      <c r="AG3599" s="116"/>
      <c r="AH3599" s="116"/>
      <c r="AI3599" s="116"/>
    </row>
    <row r="3600" spans="27:35" ht="18">
      <c r="AA3600" s="116"/>
      <c r="AB3600" s="87"/>
      <c r="AC3600" s="116"/>
      <c r="AD3600" s="116"/>
      <c r="AE3600" s="116"/>
      <c r="AF3600" s="116"/>
      <c r="AG3600" s="116"/>
      <c r="AH3600" s="116"/>
      <c r="AI3600" s="116"/>
    </row>
    <row r="3601" spans="27:35" ht="18">
      <c r="AA3601" s="116"/>
      <c r="AB3601" s="87"/>
      <c r="AC3601" s="116"/>
      <c r="AD3601" s="116"/>
      <c r="AE3601" s="116"/>
      <c r="AF3601" s="116"/>
      <c r="AG3601" s="116"/>
      <c r="AH3601" s="116"/>
      <c r="AI3601" s="116"/>
    </row>
    <row r="3602" spans="27:35" ht="18">
      <c r="AA3602" s="116"/>
      <c r="AB3602" s="87"/>
      <c r="AC3602" s="116"/>
      <c r="AD3602" s="116"/>
      <c r="AE3602" s="116"/>
      <c r="AF3602" s="116"/>
      <c r="AG3602" s="116"/>
      <c r="AH3602" s="116"/>
      <c r="AI3602" s="116"/>
    </row>
    <row r="3603" spans="27:35" ht="18">
      <c r="AA3603" s="116"/>
      <c r="AB3603" s="184"/>
      <c r="AC3603" s="116"/>
      <c r="AD3603" s="116"/>
      <c r="AE3603" s="116"/>
      <c r="AF3603" s="116"/>
      <c r="AG3603" s="116"/>
      <c r="AH3603" s="116"/>
      <c r="AI3603" s="116"/>
    </row>
    <row r="3604" spans="27:35" ht="18">
      <c r="AA3604" s="116"/>
      <c r="AB3604" s="87"/>
      <c r="AC3604" s="116"/>
      <c r="AD3604" s="116"/>
      <c r="AE3604" s="116"/>
      <c r="AF3604" s="116"/>
      <c r="AG3604" s="116"/>
      <c r="AH3604" s="116"/>
      <c r="AI3604" s="116"/>
    </row>
    <row r="3605" spans="27:35" ht="18">
      <c r="AA3605" s="116"/>
      <c r="AB3605" s="87"/>
      <c r="AC3605" s="116"/>
      <c r="AD3605" s="116"/>
      <c r="AE3605" s="116"/>
      <c r="AF3605" s="116"/>
      <c r="AG3605" s="116"/>
      <c r="AH3605" s="116"/>
      <c r="AI3605" s="116"/>
    </row>
    <row r="3606" spans="27:35" ht="18">
      <c r="AA3606" s="116"/>
      <c r="AB3606" s="87"/>
      <c r="AC3606" s="116"/>
      <c r="AD3606" s="116"/>
      <c r="AE3606" s="116"/>
      <c r="AF3606" s="116"/>
      <c r="AG3606" s="116"/>
      <c r="AH3606" s="116"/>
      <c r="AI3606" s="116"/>
    </row>
    <row r="3607" spans="27:35" ht="18">
      <c r="AA3607" s="116"/>
      <c r="AB3607" s="87"/>
      <c r="AC3607" s="116"/>
      <c r="AD3607" s="116"/>
      <c r="AE3607" s="116"/>
      <c r="AF3607" s="116"/>
      <c r="AG3607" s="116"/>
      <c r="AH3607" s="116"/>
      <c r="AI3607" s="116"/>
    </row>
    <row r="3608" spans="27:35" ht="18">
      <c r="AA3608" s="116"/>
      <c r="AB3608" s="87"/>
      <c r="AC3608" s="116"/>
      <c r="AD3608" s="116"/>
      <c r="AE3608" s="116"/>
      <c r="AF3608" s="116"/>
      <c r="AG3608" s="116"/>
      <c r="AH3608" s="116"/>
      <c r="AI3608" s="116"/>
    </row>
    <row r="3609" spans="27:35" ht="18">
      <c r="AA3609" s="116"/>
      <c r="AB3609" s="87"/>
      <c r="AC3609" s="116"/>
      <c r="AD3609" s="116"/>
      <c r="AE3609" s="116"/>
      <c r="AF3609" s="116"/>
      <c r="AG3609" s="116"/>
      <c r="AH3609" s="116"/>
      <c r="AI3609" s="116"/>
    </row>
    <row r="3610" spans="27:35" ht="18">
      <c r="AA3610" s="116"/>
      <c r="AB3610" s="87"/>
      <c r="AC3610" s="116"/>
      <c r="AD3610" s="116"/>
      <c r="AE3610" s="116"/>
      <c r="AF3610" s="116"/>
      <c r="AG3610" s="116"/>
      <c r="AH3610" s="116"/>
      <c r="AI3610" s="116"/>
    </row>
    <row r="3611" spans="27:35" ht="18">
      <c r="AA3611" s="116"/>
      <c r="AB3611" s="87"/>
      <c r="AC3611" s="116"/>
      <c r="AD3611" s="116"/>
      <c r="AE3611" s="116"/>
      <c r="AF3611" s="116"/>
      <c r="AG3611" s="116"/>
      <c r="AH3611" s="116"/>
      <c r="AI3611" s="116"/>
    </row>
    <row r="3612" spans="27:35" ht="18">
      <c r="AA3612" s="116"/>
      <c r="AB3612" s="87"/>
      <c r="AC3612" s="116"/>
      <c r="AD3612" s="116"/>
      <c r="AE3612" s="116"/>
      <c r="AF3612" s="116"/>
      <c r="AG3612" s="116"/>
      <c r="AH3612" s="116"/>
      <c r="AI3612" s="116"/>
    </row>
    <row r="3613" spans="27:35" ht="18">
      <c r="AA3613" s="116"/>
      <c r="AB3613" s="87"/>
      <c r="AC3613" s="116"/>
      <c r="AD3613" s="116"/>
      <c r="AE3613" s="116"/>
      <c r="AF3613" s="116"/>
      <c r="AG3613" s="116"/>
      <c r="AH3613" s="116"/>
      <c r="AI3613" s="116"/>
    </row>
    <row r="3614" spans="27:35" ht="18">
      <c r="AA3614" s="116"/>
      <c r="AB3614" s="87"/>
      <c r="AC3614" s="116"/>
      <c r="AD3614" s="116"/>
      <c r="AE3614" s="116"/>
      <c r="AF3614" s="116"/>
      <c r="AG3614" s="116"/>
      <c r="AH3614" s="116"/>
      <c r="AI3614" s="116"/>
    </row>
    <row r="3615" spans="27:35" ht="18">
      <c r="AA3615" s="116"/>
      <c r="AB3615" s="87"/>
      <c r="AC3615" s="116"/>
      <c r="AD3615" s="116"/>
      <c r="AE3615" s="116"/>
      <c r="AF3615" s="116"/>
      <c r="AG3615" s="116"/>
      <c r="AH3615" s="116"/>
      <c r="AI3615" s="116"/>
    </row>
    <row r="3616" spans="27:35" ht="18">
      <c r="AA3616" s="116"/>
      <c r="AB3616" s="87"/>
      <c r="AC3616" s="116"/>
      <c r="AD3616" s="116"/>
      <c r="AE3616" s="116"/>
      <c r="AF3616" s="116"/>
      <c r="AG3616" s="116"/>
      <c r="AH3616" s="116"/>
      <c r="AI3616" s="116"/>
    </row>
    <row r="3617" spans="27:35" ht="18">
      <c r="AA3617" s="116"/>
      <c r="AB3617" s="87"/>
      <c r="AC3617" s="116"/>
      <c r="AD3617" s="116"/>
      <c r="AE3617" s="116"/>
      <c r="AF3617" s="116"/>
      <c r="AG3617" s="116"/>
      <c r="AH3617" s="116"/>
      <c r="AI3617" s="116"/>
    </row>
    <row r="3618" spans="27:35" ht="18">
      <c r="AA3618" s="116"/>
      <c r="AB3618" s="87"/>
      <c r="AC3618" s="116"/>
      <c r="AD3618" s="116"/>
      <c r="AE3618" s="116"/>
      <c r="AF3618" s="116"/>
      <c r="AG3618" s="116"/>
      <c r="AH3618" s="116"/>
      <c r="AI3618" s="116"/>
    </row>
    <row r="3619" spans="27:35" ht="18">
      <c r="AA3619" s="116"/>
      <c r="AB3619" s="184"/>
      <c r="AC3619" s="116"/>
      <c r="AD3619" s="116"/>
      <c r="AE3619" s="116"/>
      <c r="AF3619" s="116"/>
      <c r="AG3619" s="116"/>
      <c r="AH3619" s="116"/>
      <c r="AI3619" s="116"/>
    </row>
    <row r="3620" spans="27:35" ht="18">
      <c r="AA3620" s="116"/>
      <c r="AB3620" s="184"/>
      <c r="AC3620" s="116"/>
      <c r="AD3620" s="116"/>
      <c r="AE3620" s="116"/>
      <c r="AF3620" s="116"/>
      <c r="AG3620" s="116"/>
      <c r="AH3620" s="116"/>
      <c r="AI3620" s="116"/>
    </row>
    <row r="3621" spans="27:35" ht="18">
      <c r="AA3621" s="116"/>
      <c r="AB3621" s="87"/>
      <c r="AC3621" s="116"/>
      <c r="AD3621" s="116"/>
      <c r="AE3621" s="116"/>
      <c r="AF3621" s="116"/>
      <c r="AG3621" s="116"/>
      <c r="AH3621" s="116"/>
      <c r="AI3621" s="116"/>
    </row>
    <row r="3622" spans="27:35" ht="18">
      <c r="AA3622" s="116"/>
      <c r="AB3622" s="87"/>
      <c r="AC3622" s="116"/>
      <c r="AD3622" s="116"/>
      <c r="AE3622" s="116"/>
      <c r="AF3622" s="116"/>
      <c r="AG3622" s="116"/>
      <c r="AH3622" s="116"/>
      <c r="AI3622" s="116"/>
    </row>
    <row r="3623" spans="27:35" ht="18">
      <c r="AA3623" s="116"/>
      <c r="AB3623" s="87"/>
      <c r="AC3623" s="116"/>
      <c r="AD3623" s="116"/>
      <c r="AE3623" s="116"/>
      <c r="AF3623" s="116"/>
      <c r="AG3623" s="116"/>
      <c r="AH3623" s="116"/>
      <c r="AI3623" s="116"/>
    </row>
    <row r="3624" spans="27:35" ht="18">
      <c r="AA3624" s="116"/>
      <c r="AB3624" s="87"/>
      <c r="AC3624" s="116"/>
      <c r="AD3624" s="116"/>
      <c r="AE3624" s="116"/>
      <c r="AF3624" s="116"/>
      <c r="AG3624" s="116"/>
      <c r="AH3624" s="116"/>
      <c r="AI3624" s="116"/>
    </row>
    <row r="3625" spans="27:35" ht="18">
      <c r="AA3625" s="116"/>
      <c r="AB3625" s="87"/>
      <c r="AC3625" s="116"/>
      <c r="AD3625" s="116"/>
      <c r="AE3625" s="116"/>
      <c r="AF3625" s="116"/>
      <c r="AG3625" s="116"/>
      <c r="AH3625" s="116"/>
      <c r="AI3625" s="116"/>
    </row>
    <row r="3626" spans="27:35" ht="18">
      <c r="AA3626" s="116"/>
      <c r="AB3626" s="87"/>
      <c r="AC3626" s="116"/>
      <c r="AD3626" s="116"/>
      <c r="AE3626" s="116"/>
      <c r="AF3626" s="116"/>
      <c r="AG3626" s="116"/>
      <c r="AH3626" s="116"/>
      <c r="AI3626" s="116"/>
    </row>
    <row r="3627" spans="27:35" ht="18">
      <c r="AA3627" s="116"/>
      <c r="AB3627" s="87"/>
      <c r="AC3627" s="116"/>
      <c r="AD3627" s="116"/>
      <c r="AE3627" s="116"/>
      <c r="AF3627" s="116"/>
      <c r="AG3627" s="116"/>
      <c r="AH3627" s="116"/>
      <c r="AI3627" s="116"/>
    </row>
    <row r="3628" spans="27:35" ht="18">
      <c r="AA3628" s="116"/>
      <c r="AB3628" s="87"/>
      <c r="AC3628" s="116"/>
      <c r="AD3628" s="116"/>
      <c r="AE3628" s="116"/>
      <c r="AF3628" s="116"/>
      <c r="AG3628" s="116"/>
      <c r="AH3628" s="116"/>
      <c r="AI3628" s="116"/>
    </row>
    <row r="3629" spans="27:35" ht="18">
      <c r="AA3629" s="116"/>
      <c r="AB3629" s="87"/>
      <c r="AC3629" s="116"/>
      <c r="AD3629" s="116"/>
      <c r="AE3629" s="116"/>
      <c r="AF3629" s="116"/>
      <c r="AG3629" s="116"/>
      <c r="AH3629" s="116"/>
      <c r="AI3629" s="116"/>
    </row>
    <row r="3630" spans="27:35" ht="18">
      <c r="AA3630" s="116"/>
      <c r="AB3630" s="87"/>
      <c r="AC3630" s="116"/>
      <c r="AD3630" s="116"/>
      <c r="AE3630" s="116"/>
      <c r="AF3630" s="116"/>
      <c r="AG3630" s="116"/>
      <c r="AH3630" s="116"/>
      <c r="AI3630" s="116"/>
    </row>
    <row r="3631" spans="27:35" ht="18">
      <c r="AA3631" s="116"/>
      <c r="AB3631" s="87"/>
      <c r="AC3631" s="116"/>
      <c r="AD3631" s="116"/>
      <c r="AE3631" s="116"/>
      <c r="AF3631" s="116"/>
      <c r="AG3631" s="116"/>
      <c r="AH3631" s="116"/>
      <c r="AI3631" s="116"/>
    </row>
    <row r="3632" spans="27:35" ht="18">
      <c r="AA3632" s="116"/>
      <c r="AB3632" s="87"/>
      <c r="AC3632" s="116"/>
      <c r="AD3632" s="116"/>
      <c r="AE3632" s="116"/>
      <c r="AF3632" s="116"/>
      <c r="AG3632" s="116"/>
      <c r="AH3632" s="116"/>
      <c r="AI3632" s="116"/>
    </row>
    <row r="3633" spans="27:35" ht="18">
      <c r="AA3633" s="116"/>
      <c r="AB3633" s="87"/>
      <c r="AC3633" s="116"/>
      <c r="AD3633" s="116"/>
      <c r="AE3633" s="116"/>
      <c r="AF3633" s="116"/>
      <c r="AG3633" s="116"/>
      <c r="AH3633" s="116"/>
      <c r="AI3633" s="116"/>
    </row>
    <row r="3634" spans="27:35" ht="18">
      <c r="AA3634" s="116"/>
      <c r="AB3634" s="87"/>
      <c r="AC3634" s="116"/>
      <c r="AD3634" s="116"/>
      <c r="AE3634" s="116"/>
      <c r="AF3634" s="116"/>
      <c r="AG3634" s="116"/>
      <c r="AH3634" s="116"/>
      <c r="AI3634" s="116"/>
    </row>
    <row r="3635" spans="27:35" ht="18">
      <c r="AA3635" s="116"/>
      <c r="AB3635" s="87"/>
      <c r="AC3635" s="116"/>
      <c r="AD3635" s="116"/>
      <c r="AE3635" s="116"/>
      <c r="AF3635" s="116"/>
      <c r="AG3635" s="116"/>
      <c r="AH3635" s="116"/>
      <c r="AI3635" s="116"/>
    </row>
    <row r="3636" spans="27:35" ht="18">
      <c r="AA3636" s="116"/>
      <c r="AB3636" s="87"/>
      <c r="AC3636" s="116"/>
      <c r="AD3636" s="116"/>
      <c r="AE3636" s="116"/>
      <c r="AF3636" s="116"/>
      <c r="AG3636" s="116"/>
      <c r="AH3636" s="116"/>
      <c r="AI3636" s="116"/>
    </row>
    <row r="3637" spans="27:35" ht="18">
      <c r="AA3637" s="116"/>
      <c r="AB3637" s="87"/>
      <c r="AC3637" s="116"/>
      <c r="AD3637" s="116"/>
      <c r="AE3637" s="116"/>
      <c r="AF3637" s="116"/>
      <c r="AG3637" s="116"/>
      <c r="AH3637" s="116"/>
      <c r="AI3637" s="116"/>
    </row>
    <row r="3638" spans="27:35" ht="18">
      <c r="AA3638" s="116"/>
      <c r="AB3638" s="87"/>
      <c r="AC3638" s="116"/>
      <c r="AD3638" s="116"/>
      <c r="AE3638" s="116"/>
      <c r="AF3638" s="116"/>
      <c r="AG3638" s="116"/>
      <c r="AH3638" s="116"/>
      <c r="AI3638" s="116"/>
    </row>
    <row r="3639" spans="27:35" ht="18">
      <c r="AA3639" s="116"/>
      <c r="AB3639" s="87"/>
      <c r="AC3639" s="116"/>
      <c r="AD3639" s="116"/>
      <c r="AE3639" s="116"/>
      <c r="AF3639" s="116"/>
      <c r="AG3639" s="116"/>
      <c r="AH3639" s="116"/>
      <c r="AI3639" s="116"/>
    </row>
    <row r="3640" spans="27:35" ht="18">
      <c r="AA3640" s="116"/>
      <c r="AB3640" s="87"/>
      <c r="AC3640" s="116"/>
      <c r="AD3640" s="116"/>
      <c r="AE3640" s="116"/>
      <c r="AF3640" s="116"/>
      <c r="AG3640" s="116"/>
      <c r="AH3640" s="116"/>
      <c r="AI3640" s="116"/>
    </row>
    <row r="3641" spans="27:35" ht="18">
      <c r="AA3641" s="116"/>
      <c r="AB3641" s="87"/>
      <c r="AC3641" s="116"/>
      <c r="AD3641" s="116"/>
      <c r="AE3641" s="116"/>
      <c r="AF3641" s="116"/>
      <c r="AG3641" s="116"/>
      <c r="AH3641" s="116"/>
      <c r="AI3641" s="116"/>
    </row>
    <row r="3642" spans="27:35" ht="18">
      <c r="AA3642" s="116"/>
      <c r="AB3642" s="87"/>
      <c r="AC3642" s="116"/>
      <c r="AD3642" s="116"/>
      <c r="AE3642" s="116"/>
      <c r="AF3642" s="116"/>
      <c r="AG3642" s="116"/>
      <c r="AH3642" s="116"/>
      <c r="AI3642" s="116"/>
    </row>
    <row r="3643" spans="27:35" ht="18">
      <c r="AA3643" s="116"/>
      <c r="AB3643" s="87"/>
      <c r="AC3643" s="116"/>
      <c r="AD3643" s="116"/>
      <c r="AE3643" s="116"/>
      <c r="AF3643" s="116"/>
      <c r="AG3643" s="116"/>
      <c r="AH3643" s="116"/>
      <c r="AI3643" s="116"/>
    </row>
    <row r="3644" spans="27:35" ht="18">
      <c r="AA3644" s="116"/>
      <c r="AB3644" s="87"/>
      <c r="AC3644" s="116"/>
      <c r="AD3644" s="116"/>
      <c r="AE3644" s="116"/>
      <c r="AF3644" s="116"/>
      <c r="AG3644" s="116"/>
      <c r="AH3644" s="116"/>
      <c r="AI3644" s="116"/>
    </row>
    <row r="3645" spans="27:35" ht="18">
      <c r="AA3645" s="116"/>
      <c r="AB3645" s="87"/>
      <c r="AC3645" s="116"/>
      <c r="AD3645" s="116"/>
      <c r="AE3645" s="116"/>
      <c r="AF3645" s="116"/>
      <c r="AG3645" s="116"/>
      <c r="AH3645" s="116"/>
      <c r="AI3645" s="116"/>
    </row>
    <row r="3646" spans="27:35" ht="18">
      <c r="AA3646" s="116"/>
      <c r="AB3646" s="87"/>
      <c r="AC3646" s="116"/>
      <c r="AD3646" s="116"/>
      <c r="AE3646" s="116"/>
      <c r="AF3646" s="116"/>
      <c r="AG3646" s="116"/>
      <c r="AH3646" s="116"/>
      <c r="AI3646" s="116"/>
    </row>
    <row r="3647" spans="27:35" ht="18">
      <c r="AA3647" s="116"/>
      <c r="AB3647" s="87"/>
      <c r="AC3647" s="116"/>
      <c r="AD3647" s="116"/>
      <c r="AE3647" s="116"/>
      <c r="AF3647" s="116"/>
      <c r="AG3647" s="116"/>
      <c r="AH3647" s="116"/>
      <c r="AI3647" s="116"/>
    </row>
    <row r="3648" spans="27:35" ht="18">
      <c r="AA3648" s="116"/>
      <c r="AB3648" s="87"/>
      <c r="AC3648" s="116"/>
      <c r="AD3648" s="116"/>
      <c r="AE3648" s="116"/>
      <c r="AF3648" s="116"/>
      <c r="AG3648" s="116"/>
      <c r="AH3648" s="116"/>
      <c r="AI3648" s="116"/>
    </row>
    <row r="3649" spans="27:35" ht="18">
      <c r="AA3649" s="116"/>
      <c r="AB3649" s="87"/>
      <c r="AC3649" s="116"/>
      <c r="AD3649" s="116"/>
      <c r="AE3649" s="116"/>
      <c r="AF3649" s="116"/>
      <c r="AG3649" s="116"/>
      <c r="AH3649" s="116"/>
      <c r="AI3649" s="116"/>
    </row>
    <row r="3650" spans="27:35" ht="18">
      <c r="AA3650" s="116"/>
      <c r="AB3650" s="87"/>
      <c r="AC3650" s="116"/>
      <c r="AD3650" s="116"/>
      <c r="AE3650" s="116"/>
      <c r="AF3650" s="116"/>
      <c r="AG3650" s="116"/>
      <c r="AH3650" s="116"/>
      <c r="AI3650" s="116"/>
    </row>
    <row r="3651" spans="27:35" ht="18">
      <c r="AA3651" s="116"/>
      <c r="AB3651" s="87"/>
      <c r="AC3651" s="116"/>
      <c r="AD3651" s="116"/>
      <c r="AE3651" s="116"/>
      <c r="AF3651" s="116"/>
      <c r="AG3651" s="116"/>
      <c r="AH3651" s="116"/>
      <c r="AI3651" s="116"/>
    </row>
    <row r="3652" spans="27:35" ht="18">
      <c r="AA3652" s="116"/>
      <c r="AB3652" s="87"/>
      <c r="AC3652" s="116"/>
      <c r="AD3652" s="116"/>
      <c r="AE3652" s="116"/>
      <c r="AF3652" s="116"/>
      <c r="AG3652" s="116"/>
      <c r="AH3652" s="116"/>
      <c r="AI3652" s="116"/>
    </row>
    <row r="3653" spans="27:35" ht="18">
      <c r="AA3653" s="116"/>
      <c r="AB3653" s="87"/>
      <c r="AC3653" s="116"/>
      <c r="AD3653" s="116"/>
      <c r="AE3653" s="116"/>
      <c r="AF3653" s="116"/>
      <c r="AG3653" s="116"/>
      <c r="AH3653" s="116"/>
      <c r="AI3653" s="116"/>
    </row>
    <row r="3654" spans="27:35" ht="18">
      <c r="AA3654" s="116"/>
      <c r="AB3654" s="87"/>
      <c r="AC3654" s="116"/>
      <c r="AD3654" s="116"/>
      <c r="AE3654" s="116"/>
      <c r="AF3654" s="116"/>
      <c r="AG3654" s="116"/>
      <c r="AH3654" s="116"/>
      <c r="AI3654" s="116"/>
    </row>
    <row r="3655" spans="27:35" ht="18">
      <c r="AA3655" s="116"/>
      <c r="AB3655" s="87"/>
      <c r="AC3655" s="116"/>
      <c r="AD3655" s="116"/>
      <c r="AE3655" s="116"/>
      <c r="AF3655" s="116"/>
      <c r="AG3655" s="116"/>
      <c r="AH3655" s="116"/>
      <c r="AI3655" s="116"/>
    </row>
    <row r="3656" spans="27:35" ht="18">
      <c r="AA3656" s="116"/>
      <c r="AB3656" s="87"/>
      <c r="AC3656" s="116"/>
      <c r="AD3656" s="116"/>
      <c r="AE3656" s="116"/>
      <c r="AF3656" s="116"/>
      <c r="AG3656" s="116"/>
      <c r="AH3656" s="116"/>
      <c r="AI3656" s="116"/>
    </row>
    <row r="3657" spans="27:35" ht="18">
      <c r="AA3657" s="116"/>
      <c r="AB3657" s="87"/>
      <c r="AC3657" s="116"/>
      <c r="AD3657" s="116"/>
      <c r="AE3657" s="116"/>
      <c r="AF3657" s="116"/>
      <c r="AG3657" s="116"/>
      <c r="AH3657" s="116"/>
      <c r="AI3657" s="116"/>
    </row>
    <row r="3658" spans="27:35" ht="18">
      <c r="AA3658" s="116"/>
      <c r="AB3658" s="87"/>
      <c r="AC3658" s="116"/>
      <c r="AD3658" s="116"/>
      <c r="AE3658" s="116"/>
      <c r="AF3658" s="116"/>
      <c r="AG3658" s="116"/>
      <c r="AH3658" s="116"/>
      <c r="AI3658" s="116"/>
    </row>
    <row r="3659" spans="27:35" ht="18">
      <c r="AA3659" s="116"/>
      <c r="AB3659" s="87"/>
      <c r="AC3659" s="116"/>
      <c r="AD3659" s="116"/>
      <c r="AE3659" s="116"/>
      <c r="AF3659" s="116"/>
      <c r="AG3659" s="116"/>
      <c r="AH3659" s="116"/>
      <c r="AI3659" s="116"/>
    </row>
    <row r="3660" spans="27:35" ht="18">
      <c r="AA3660" s="116"/>
      <c r="AB3660" s="87"/>
      <c r="AC3660" s="116"/>
      <c r="AD3660" s="116"/>
      <c r="AE3660" s="116"/>
      <c r="AF3660" s="116"/>
      <c r="AG3660" s="116"/>
      <c r="AH3660" s="116"/>
      <c r="AI3660" s="116"/>
    </row>
    <row r="3661" spans="27:35" ht="18">
      <c r="AA3661" s="116"/>
      <c r="AB3661" s="87"/>
      <c r="AC3661" s="116"/>
      <c r="AD3661" s="116"/>
      <c r="AE3661" s="116"/>
      <c r="AF3661" s="116"/>
      <c r="AG3661" s="116"/>
      <c r="AH3661" s="116"/>
      <c r="AI3661" s="116"/>
    </row>
    <row r="3662" spans="27:35" ht="18">
      <c r="AA3662" s="116"/>
      <c r="AB3662" s="87"/>
      <c r="AC3662" s="116"/>
      <c r="AD3662" s="116"/>
      <c r="AE3662" s="116"/>
      <c r="AF3662" s="116"/>
      <c r="AG3662" s="116"/>
      <c r="AH3662" s="116"/>
      <c r="AI3662" s="116"/>
    </row>
    <row r="3663" spans="27:35" ht="18">
      <c r="AA3663" s="116"/>
      <c r="AB3663" s="87"/>
      <c r="AC3663" s="116"/>
      <c r="AD3663" s="116"/>
      <c r="AE3663" s="116"/>
      <c r="AF3663" s="116"/>
      <c r="AG3663" s="116"/>
      <c r="AH3663" s="116"/>
      <c r="AI3663" s="116"/>
    </row>
    <row r="3664" spans="27:35" ht="18">
      <c r="AA3664" s="116"/>
      <c r="AB3664" s="87"/>
      <c r="AC3664" s="116"/>
      <c r="AD3664" s="116"/>
      <c r="AE3664" s="116"/>
      <c r="AF3664" s="116"/>
      <c r="AG3664" s="116"/>
      <c r="AH3664" s="116"/>
      <c r="AI3664" s="116"/>
    </row>
    <row r="3665" spans="27:35" ht="18">
      <c r="AA3665" s="116"/>
      <c r="AB3665" s="87"/>
      <c r="AC3665" s="116"/>
      <c r="AD3665" s="116"/>
      <c r="AE3665" s="116"/>
      <c r="AF3665" s="116"/>
      <c r="AG3665" s="116"/>
      <c r="AH3665" s="116"/>
      <c r="AI3665" s="116"/>
    </row>
    <row r="3666" spans="27:35" ht="18">
      <c r="AA3666" s="116"/>
      <c r="AB3666" s="87"/>
      <c r="AC3666" s="116"/>
      <c r="AD3666" s="116"/>
      <c r="AE3666" s="116"/>
      <c r="AF3666" s="116"/>
      <c r="AG3666" s="116"/>
      <c r="AH3666" s="116"/>
      <c r="AI3666" s="116"/>
    </row>
    <row r="3667" spans="27:35" ht="18">
      <c r="AA3667" s="116"/>
      <c r="AB3667" s="87"/>
      <c r="AC3667" s="116"/>
      <c r="AD3667" s="116"/>
      <c r="AE3667" s="116"/>
      <c r="AF3667" s="116"/>
      <c r="AG3667" s="116"/>
      <c r="AH3667" s="116"/>
      <c r="AI3667" s="116"/>
    </row>
    <row r="3668" spans="27:35" ht="18">
      <c r="AA3668" s="116"/>
      <c r="AB3668" s="87"/>
      <c r="AC3668" s="116"/>
      <c r="AD3668" s="116"/>
      <c r="AE3668" s="116"/>
      <c r="AF3668" s="116"/>
      <c r="AG3668" s="116"/>
      <c r="AH3668" s="116"/>
      <c r="AI3668" s="116"/>
    </row>
    <row r="3669" spans="27:35" ht="18">
      <c r="AA3669" s="116"/>
      <c r="AB3669" s="87"/>
      <c r="AC3669" s="116"/>
      <c r="AD3669" s="116"/>
      <c r="AE3669" s="116"/>
      <c r="AF3669" s="116"/>
      <c r="AG3669" s="116"/>
      <c r="AH3669" s="116"/>
      <c r="AI3669" s="116"/>
    </row>
    <row r="3670" spans="27:35" ht="18">
      <c r="AA3670" s="116"/>
      <c r="AB3670" s="87"/>
      <c r="AC3670" s="116"/>
      <c r="AD3670" s="116"/>
      <c r="AE3670" s="116"/>
      <c r="AF3670" s="116"/>
      <c r="AG3670" s="116"/>
      <c r="AH3670" s="116"/>
      <c r="AI3670" s="116"/>
    </row>
    <row r="3671" spans="27:35" ht="18">
      <c r="AA3671" s="116"/>
      <c r="AB3671" s="87"/>
      <c r="AC3671" s="116"/>
      <c r="AD3671" s="116"/>
      <c r="AE3671" s="116"/>
      <c r="AF3671" s="116"/>
      <c r="AG3671" s="116"/>
      <c r="AH3671" s="116"/>
      <c r="AI3671" s="116"/>
    </row>
    <row r="3672" spans="27:35" ht="18">
      <c r="AA3672" s="116"/>
      <c r="AB3672" s="87"/>
      <c r="AC3672" s="116"/>
      <c r="AD3672" s="116"/>
      <c r="AE3672" s="116"/>
      <c r="AF3672" s="116"/>
      <c r="AG3672" s="116"/>
      <c r="AH3672" s="116"/>
      <c r="AI3672" s="116"/>
    </row>
    <row r="3673" spans="27:35" ht="18">
      <c r="AA3673" s="116"/>
      <c r="AB3673" s="87"/>
      <c r="AC3673" s="116"/>
      <c r="AD3673" s="116"/>
      <c r="AE3673" s="116"/>
      <c r="AF3673" s="116"/>
      <c r="AG3673" s="116"/>
      <c r="AH3673" s="116"/>
      <c r="AI3673" s="116"/>
    </row>
    <row r="3674" spans="27:35" ht="18">
      <c r="AA3674" s="116"/>
      <c r="AB3674" s="87"/>
      <c r="AC3674" s="116"/>
      <c r="AD3674" s="116"/>
      <c r="AE3674" s="116"/>
      <c r="AF3674" s="116"/>
      <c r="AG3674" s="116"/>
      <c r="AH3674" s="116"/>
      <c r="AI3674" s="116"/>
    </row>
    <row r="3675" spans="27:35" ht="18">
      <c r="AA3675" s="116"/>
      <c r="AB3675" s="87"/>
      <c r="AC3675" s="116"/>
      <c r="AD3675" s="116"/>
      <c r="AE3675" s="116"/>
      <c r="AF3675" s="116"/>
      <c r="AG3675" s="116"/>
      <c r="AH3675" s="116"/>
      <c r="AI3675" s="116"/>
    </row>
    <row r="3676" spans="27:35" ht="18">
      <c r="AA3676" s="116"/>
      <c r="AB3676" s="87"/>
      <c r="AC3676" s="116"/>
      <c r="AD3676" s="116"/>
      <c r="AE3676" s="116"/>
      <c r="AF3676" s="116"/>
      <c r="AG3676" s="116"/>
      <c r="AH3676" s="116"/>
      <c r="AI3676" s="116"/>
    </row>
    <row r="3677" spans="27:35" ht="18">
      <c r="AA3677" s="116"/>
      <c r="AB3677" s="87"/>
      <c r="AC3677" s="116"/>
      <c r="AD3677" s="116"/>
      <c r="AE3677" s="116"/>
      <c r="AF3677" s="116"/>
      <c r="AG3677" s="116"/>
      <c r="AH3677" s="116"/>
      <c r="AI3677" s="116"/>
    </row>
    <row r="3678" spans="27:35" ht="18">
      <c r="AA3678" s="116"/>
      <c r="AB3678" s="87"/>
      <c r="AC3678" s="116"/>
      <c r="AD3678" s="116"/>
      <c r="AE3678" s="116"/>
      <c r="AF3678" s="116"/>
      <c r="AG3678" s="116"/>
      <c r="AH3678" s="116"/>
      <c r="AI3678" s="116"/>
    </row>
    <row r="3679" spans="27:35" ht="18">
      <c r="AA3679" s="116"/>
      <c r="AB3679" s="87"/>
      <c r="AC3679" s="116"/>
      <c r="AD3679" s="116"/>
      <c r="AE3679" s="116"/>
      <c r="AF3679" s="116"/>
      <c r="AG3679" s="116"/>
      <c r="AH3679" s="116"/>
      <c r="AI3679" s="116"/>
    </row>
    <row r="3680" spans="27:35" ht="18">
      <c r="AA3680" s="116"/>
      <c r="AB3680" s="87"/>
      <c r="AC3680" s="116"/>
      <c r="AD3680" s="116"/>
      <c r="AE3680" s="116"/>
      <c r="AF3680" s="116"/>
      <c r="AG3680" s="116"/>
      <c r="AH3680" s="116"/>
      <c r="AI3680" s="116"/>
    </row>
    <row r="3681" spans="27:35" ht="18">
      <c r="AA3681" s="116"/>
      <c r="AB3681" s="87"/>
      <c r="AC3681" s="116"/>
      <c r="AD3681" s="116"/>
      <c r="AE3681" s="116"/>
      <c r="AF3681" s="116"/>
      <c r="AG3681" s="116"/>
      <c r="AH3681" s="116"/>
      <c r="AI3681" s="116"/>
    </row>
    <row r="3682" spans="27:35" ht="18">
      <c r="AA3682" s="116"/>
      <c r="AB3682" s="87"/>
      <c r="AC3682" s="116"/>
      <c r="AD3682" s="116"/>
      <c r="AE3682" s="116"/>
      <c r="AF3682" s="116"/>
      <c r="AG3682" s="116"/>
      <c r="AH3682" s="116"/>
      <c r="AI3682" s="116"/>
    </row>
    <row r="3683" spans="27:35" ht="18">
      <c r="AA3683" s="116"/>
      <c r="AB3683" s="87"/>
      <c r="AC3683" s="116"/>
      <c r="AD3683" s="116"/>
      <c r="AE3683" s="116"/>
      <c r="AF3683" s="116"/>
      <c r="AG3683" s="116"/>
      <c r="AH3683" s="116"/>
      <c r="AI3683" s="116"/>
    </row>
    <row r="3684" spans="27:35" ht="18">
      <c r="AA3684" s="116"/>
      <c r="AB3684" s="87"/>
      <c r="AC3684" s="116"/>
      <c r="AD3684" s="116"/>
      <c r="AE3684" s="116"/>
      <c r="AF3684" s="116"/>
      <c r="AG3684" s="116"/>
      <c r="AH3684" s="116"/>
      <c r="AI3684" s="116"/>
    </row>
    <row r="3685" spans="27:35" ht="18">
      <c r="AA3685" s="116"/>
      <c r="AB3685" s="87"/>
      <c r="AC3685" s="116"/>
      <c r="AD3685" s="116"/>
      <c r="AE3685" s="116"/>
      <c r="AF3685" s="116"/>
      <c r="AG3685" s="116"/>
      <c r="AH3685" s="116"/>
      <c r="AI3685" s="116"/>
    </row>
    <row r="3686" spans="27:35" ht="18">
      <c r="AA3686" s="116"/>
      <c r="AB3686" s="87"/>
      <c r="AC3686" s="116"/>
      <c r="AD3686" s="116"/>
      <c r="AE3686" s="116"/>
      <c r="AF3686" s="116"/>
      <c r="AG3686" s="116"/>
      <c r="AH3686" s="116"/>
      <c r="AI3686" s="116"/>
    </row>
    <row r="3687" spans="27:35" ht="18">
      <c r="AA3687" s="116"/>
      <c r="AB3687" s="87"/>
      <c r="AC3687" s="116"/>
      <c r="AD3687" s="116"/>
      <c r="AE3687" s="116"/>
      <c r="AF3687" s="116"/>
      <c r="AG3687" s="116"/>
      <c r="AH3687" s="116"/>
      <c r="AI3687" s="116"/>
    </row>
    <row r="3688" spans="27:35" ht="18">
      <c r="AA3688" s="116"/>
      <c r="AB3688" s="87"/>
      <c r="AC3688" s="116"/>
      <c r="AD3688" s="116"/>
      <c r="AE3688" s="116"/>
      <c r="AF3688" s="116"/>
      <c r="AG3688" s="116"/>
      <c r="AH3688" s="116"/>
      <c r="AI3688" s="116"/>
    </row>
    <row r="3689" spans="27:35" ht="18">
      <c r="AA3689" s="116"/>
      <c r="AB3689" s="87"/>
      <c r="AC3689" s="116"/>
      <c r="AD3689" s="116"/>
      <c r="AE3689" s="116"/>
      <c r="AF3689" s="116"/>
      <c r="AG3689" s="116"/>
      <c r="AH3689" s="116"/>
      <c r="AI3689" s="116"/>
    </row>
    <row r="3690" spans="27:35" ht="18">
      <c r="AA3690" s="116"/>
      <c r="AB3690" s="87"/>
      <c r="AC3690" s="116"/>
      <c r="AD3690" s="116"/>
      <c r="AE3690" s="116"/>
      <c r="AF3690" s="116"/>
      <c r="AG3690" s="116"/>
      <c r="AH3690" s="116"/>
      <c r="AI3690" s="116"/>
    </row>
    <row r="3691" spans="27:35" ht="18">
      <c r="AA3691" s="116"/>
      <c r="AB3691" s="87"/>
      <c r="AC3691" s="116"/>
      <c r="AD3691" s="116"/>
      <c r="AE3691" s="116"/>
      <c r="AF3691" s="116"/>
      <c r="AG3691" s="116"/>
      <c r="AH3691" s="116"/>
      <c r="AI3691" s="116"/>
    </row>
    <row r="3692" spans="27:35" ht="18">
      <c r="AA3692" s="116"/>
      <c r="AB3692" s="87"/>
      <c r="AC3692" s="116"/>
      <c r="AD3692" s="116"/>
      <c r="AE3692" s="116"/>
      <c r="AF3692" s="116"/>
      <c r="AG3692" s="116"/>
      <c r="AH3692" s="116"/>
      <c r="AI3692" s="116"/>
    </row>
    <row r="3693" spans="27:35" ht="18">
      <c r="AA3693" s="116"/>
      <c r="AB3693" s="87"/>
      <c r="AC3693" s="116"/>
      <c r="AD3693" s="116"/>
      <c r="AE3693" s="116"/>
      <c r="AF3693" s="116"/>
      <c r="AG3693" s="116"/>
      <c r="AH3693" s="116"/>
      <c r="AI3693" s="116"/>
    </row>
    <row r="3694" spans="27:35" ht="18">
      <c r="AA3694" s="116"/>
      <c r="AB3694" s="87"/>
      <c r="AC3694" s="116"/>
      <c r="AD3694" s="116"/>
      <c r="AE3694" s="116"/>
      <c r="AF3694" s="116"/>
      <c r="AG3694" s="116"/>
      <c r="AH3694" s="116"/>
      <c r="AI3694" s="116"/>
    </row>
    <row r="3695" spans="27:35" ht="18">
      <c r="AA3695" s="116"/>
      <c r="AB3695" s="184"/>
      <c r="AC3695" s="116"/>
      <c r="AD3695" s="116"/>
      <c r="AE3695" s="116"/>
      <c r="AF3695" s="116"/>
      <c r="AG3695" s="116"/>
      <c r="AH3695" s="116"/>
      <c r="AI3695" s="116"/>
    </row>
    <row r="3696" spans="27:35" ht="18">
      <c r="AA3696" s="116"/>
      <c r="AB3696" s="87"/>
      <c r="AC3696" s="116"/>
      <c r="AD3696" s="116"/>
      <c r="AE3696" s="116"/>
      <c r="AF3696" s="116"/>
      <c r="AG3696" s="116"/>
      <c r="AH3696" s="116"/>
      <c r="AI3696" s="116"/>
    </row>
    <row r="3697" spans="27:35" ht="18">
      <c r="AA3697" s="116"/>
      <c r="AB3697" s="87"/>
      <c r="AC3697" s="116"/>
      <c r="AD3697" s="116"/>
      <c r="AE3697" s="116"/>
      <c r="AF3697" s="116"/>
      <c r="AG3697" s="116"/>
      <c r="AH3697" s="116"/>
      <c r="AI3697" s="116"/>
    </row>
    <row r="3698" spans="27:35" ht="18">
      <c r="AA3698" s="116"/>
      <c r="AB3698" s="87"/>
      <c r="AC3698" s="116"/>
      <c r="AD3698" s="116"/>
      <c r="AE3698" s="116"/>
      <c r="AF3698" s="116"/>
      <c r="AG3698" s="116"/>
      <c r="AH3698" s="116"/>
      <c r="AI3698" s="116"/>
    </row>
    <row r="3699" spans="27:35" ht="18">
      <c r="AA3699" s="116"/>
      <c r="AB3699" s="87"/>
      <c r="AC3699" s="116"/>
      <c r="AD3699" s="116"/>
      <c r="AE3699" s="116"/>
      <c r="AF3699" s="116"/>
      <c r="AG3699" s="116"/>
      <c r="AH3699" s="116"/>
      <c r="AI3699" s="116"/>
    </row>
    <row r="3700" spans="27:35" ht="18">
      <c r="AA3700" s="116"/>
      <c r="AB3700" s="87"/>
      <c r="AC3700" s="116"/>
      <c r="AD3700" s="116"/>
      <c r="AE3700" s="116"/>
      <c r="AF3700" s="116"/>
      <c r="AG3700" s="116"/>
      <c r="AH3700" s="116"/>
      <c r="AI3700" s="116"/>
    </row>
    <row r="3701" spans="27:35" ht="18">
      <c r="AA3701" s="116"/>
      <c r="AB3701" s="87"/>
      <c r="AC3701" s="116"/>
      <c r="AD3701" s="116"/>
      <c r="AE3701" s="116"/>
      <c r="AF3701" s="116"/>
      <c r="AG3701" s="116"/>
      <c r="AH3701" s="116"/>
      <c r="AI3701" s="116"/>
    </row>
    <row r="3702" spans="27:35" ht="18">
      <c r="AA3702" s="116"/>
      <c r="AB3702" s="87"/>
      <c r="AC3702" s="116"/>
      <c r="AD3702" s="116"/>
      <c r="AE3702" s="116"/>
      <c r="AF3702" s="116"/>
      <c r="AG3702" s="116"/>
      <c r="AH3702" s="116"/>
      <c r="AI3702" s="116"/>
    </row>
    <row r="3703" spans="27:35" ht="18">
      <c r="AA3703" s="116"/>
      <c r="AB3703" s="87"/>
      <c r="AC3703" s="116"/>
      <c r="AD3703" s="116"/>
      <c r="AE3703" s="116"/>
      <c r="AF3703" s="116"/>
      <c r="AG3703" s="116"/>
      <c r="AH3703" s="116"/>
      <c r="AI3703" s="116"/>
    </row>
    <row r="3704" spans="27:35" ht="18">
      <c r="AA3704" s="116"/>
      <c r="AB3704" s="87"/>
      <c r="AC3704" s="116"/>
      <c r="AD3704" s="116"/>
      <c r="AE3704" s="116"/>
      <c r="AF3704" s="116"/>
      <c r="AG3704" s="116"/>
      <c r="AH3704" s="116"/>
      <c r="AI3704" s="116"/>
    </row>
    <row r="3705" spans="27:35" ht="18">
      <c r="AA3705" s="116"/>
      <c r="AB3705" s="87"/>
      <c r="AC3705" s="116"/>
      <c r="AD3705" s="116"/>
      <c r="AE3705" s="116"/>
      <c r="AF3705" s="116"/>
      <c r="AG3705" s="116"/>
      <c r="AH3705" s="116"/>
      <c r="AI3705" s="116"/>
    </row>
    <row r="3706" spans="27:35" ht="18">
      <c r="AA3706" s="116"/>
      <c r="AB3706" s="87"/>
      <c r="AC3706" s="116"/>
      <c r="AD3706" s="116"/>
      <c r="AE3706" s="116"/>
      <c r="AF3706" s="116"/>
      <c r="AG3706" s="116"/>
      <c r="AH3706" s="116"/>
      <c r="AI3706" s="116"/>
    </row>
    <row r="3707" spans="27:35" ht="18">
      <c r="AA3707" s="116"/>
      <c r="AB3707" s="184"/>
      <c r="AC3707" s="116"/>
      <c r="AD3707" s="116"/>
      <c r="AE3707" s="116"/>
      <c r="AF3707" s="116"/>
      <c r="AG3707" s="116"/>
      <c r="AH3707" s="116"/>
      <c r="AI3707" s="116"/>
    </row>
    <row r="3708" spans="27:35" ht="18">
      <c r="AA3708" s="116"/>
      <c r="AB3708" s="184"/>
      <c r="AC3708" s="116"/>
      <c r="AD3708" s="116"/>
      <c r="AE3708" s="116"/>
      <c r="AF3708" s="116"/>
      <c r="AG3708" s="116"/>
      <c r="AH3708" s="116"/>
      <c r="AI3708" s="116"/>
    </row>
    <row r="3709" spans="27:35" ht="18">
      <c r="AA3709" s="116"/>
      <c r="AB3709" s="87"/>
      <c r="AC3709" s="116"/>
      <c r="AD3709" s="116"/>
      <c r="AE3709" s="116"/>
      <c r="AF3709" s="116"/>
      <c r="AG3709" s="116"/>
      <c r="AH3709" s="116"/>
      <c r="AI3709" s="116"/>
    </row>
    <row r="3710" spans="27:35" ht="18">
      <c r="AA3710" s="116"/>
      <c r="AB3710" s="87"/>
      <c r="AC3710" s="116"/>
      <c r="AD3710" s="116"/>
      <c r="AE3710" s="116"/>
      <c r="AF3710" s="116"/>
      <c r="AG3710" s="116"/>
      <c r="AH3710" s="116"/>
      <c r="AI3710" s="116"/>
    </row>
    <row r="3711" spans="27:35" ht="18">
      <c r="AA3711" s="116"/>
      <c r="AB3711" s="87"/>
      <c r="AC3711" s="116"/>
      <c r="AD3711" s="116"/>
      <c r="AE3711" s="116"/>
      <c r="AF3711" s="116"/>
      <c r="AG3711" s="116"/>
      <c r="AH3711" s="116"/>
      <c r="AI3711" s="116"/>
    </row>
    <row r="3712" spans="27:35" ht="18">
      <c r="AA3712" s="116"/>
      <c r="AB3712" s="87"/>
      <c r="AC3712" s="116"/>
      <c r="AD3712" s="116"/>
      <c r="AE3712" s="116"/>
      <c r="AF3712" s="116"/>
      <c r="AG3712" s="116"/>
      <c r="AH3712" s="116"/>
      <c r="AI3712" s="116"/>
    </row>
    <row r="3713" spans="27:35" ht="18">
      <c r="AA3713" s="116"/>
      <c r="AB3713" s="87"/>
      <c r="AC3713" s="116"/>
      <c r="AD3713" s="116"/>
      <c r="AE3713" s="116"/>
      <c r="AF3713" s="116"/>
      <c r="AG3713" s="116"/>
      <c r="AH3713" s="116"/>
      <c r="AI3713" s="116"/>
    </row>
    <row r="3714" spans="27:35" ht="18">
      <c r="AA3714" s="116"/>
      <c r="AB3714" s="184"/>
      <c r="AC3714" s="116"/>
      <c r="AD3714" s="116"/>
      <c r="AE3714" s="116"/>
      <c r="AF3714" s="116"/>
      <c r="AG3714" s="116"/>
      <c r="AH3714" s="116"/>
      <c r="AI3714" s="116"/>
    </row>
    <row r="3715" spans="27:35" ht="18">
      <c r="AA3715" s="116"/>
      <c r="AB3715" s="184"/>
      <c r="AC3715" s="116"/>
      <c r="AD3715" s="116"/>
      <c r="AE3715" s="116"/>
      <c r="AF3715" s="116"/>
      <c r="AG3715" s="116"/>
      <c r="AH3715" s="116"/>
      <c r="AI3715" s="116"/>
    </row>
    <row r="3716" spans="27:35" ht="18">
      <c r="AA3716" s="116"/>
      <c r="AB3716" s="87"/>
      <c r="AC3716" s="116"/>
      <c r="AD3716" s="116"/>
      <c r="AE3716" s="116"/>
      <c r="AF3716" s="116"/>
      <c r="AG3716" s="116"/>
      <c r="AH3716" s="116"/>
      <c r="AI3716" s="116"/>
    </row>
    <row r="3717" spans="27:35" ht="18">
      <c r="AA3717" s="116"/>
      <c r="AB3717" s="87"/>
      <c r="AC3717" s="116"/>
      <c r="AD3717" s="116"/>
      <c r="AE3717" s="116"/>
      <c r="AF3717" s="116"/>
      <c r="AG3717" s="116"/>
      <c r="AH3717" s="116"/>
      <c r="AI3717" s="116"/>
    </row>
    <row r="3718" spans="27:35" ht="18">
      <c r="AA3718" s="116"/>
      <c r="AB3718" s="87"/>
      <c r="AC3718" s="116"/>
      <c r="AD3718" s="116"/>
      <c r="AE3718" s="116"/>
      <c r="AF3718" s="116"/>
      <c r="AG3718" s="116"/>
      <c r="AH3718" s="116"/>
      <c r="AI3718" s="116"/>
    </row>
    <row r="3719" spans="27:35" ht="18">
      <c r="AA3719" s="116"/>
      <c r="AB3719" s="87"/>
      <c r="AC3719" s="116"/>
      <c r="AD3719" s="116"/>
      <c r="AE3719" s="116"/>
      <c r="AF3719" s="116"/>
      <c r="AG3719" s="116"/>
      <c r="AH3719" s="116"/>
      <c r="AI3719" s="116"/>
    </row>
    <row r="3720" spans="27:35" ht="18">
      <c r="AA3720" s="116"/>
      <c r="AB3720" s="184"/>
      <c r="AC3720" s="116"/>
      <c r="AD3720" s="116"/>
      <c r="AE3720" s="116"/>
      <c r="AF3720" s="116"/>
      <c r="AG3720" s="116"/>
      <c r="AH3720" s="116"/>
      <c r="AI3720" s="116"/>
    </row>
    <row r="3721" spans="27:35" ht="18">
      <c r="AA3721" s="116"/>
      <c r="AB3721" s="184"/>
      <c r="AC3721" s="116"/>
      <c r="AD3721" s="116"/>
      <c r="AE3721" s="116"/>
      <c r="AF3721" s="116"/>
      <c r="AG3721" s="116"/>
      <c r="AH3721" s="116"/>
      <c r="AI3721" s="116"/>
    </row>
    <row r="3722" spans="27:35" ht="18">
      <c r="AA3722" s="116"/>
      <c r="AB3722" s="87"/>
      <c r="AC3722" s="116"/>
      <c r="AD3722" s="116"/>
      <c r="AE3722" s="116"/>
      <c r="AF3722" s="116"/>
      <c r="AG3722" s="116"/>
      <c r="AH3722" s="116"/>
      <c r="AI3722" s="116"/>
    </row>
    <row r="3723" spans="27:35" ht="18">
      <c r="AA3723" s="116"/>
      <c r="AB3723" s="87"/>
      <c r="AC3723" s="116"/>
      <c r="AD3723" s="116"/>
      <c r="AE3723" s="116"/>
      <c r="AF3723" s="116"/>
      <c r="AG3723" s="116"/>
      <c r="AH3723" s="116"/>
      <c r="AI3723" s="116"/>
    </row>
    <row r="3724" spans="27:35" ht="18">
      <c r="AA3724" s="116"/>
      <c r="AB3724" s="87"/>
      <c r="AC3724" s="116"/>
      <c r="AD3724" s="116"/>
      <c r="AE3724" s="116"/>
      <c r="AF3724" s="116"/>
      <c r="AG3724" s="116"/>
      <c r="AH3724" s="116"/>
      <c r="AI3724" s="116"/>
    </row>
    <row r="3725" spans="27:35" ht="18">
      <c r="AA3725" s="116"/>
      <c r="AB3725" s="87"/>
      <c r="AC3725" s="116"/>
      <c r="AD3725" s="116"/>
      <c r="AE3725" s="116"/>
      <c r="AF3725" s="116"/>
      <c r="AG3725" s="116"/>
      <c r="AH3725" s="116"/>
      <c r="AI3725" s="116"/>
    </row>
    <row r="3726" spans="27:35" ht="18">
      <c r="AA3726" s="116"/>
      <c r="AB3726" s="87"/>
      <c r="AC3726" s="116"/>
      <c r="AD3726" s="116"/>
      <c r="AE3726" s="116"/>
      <c r="AF3726" s="116"/>
      <c r="AG3726" s="116"/>
      <c r="AH3726" s="116"/>
      <c r="AI3726" s="116"/>
    </row>
    <row r="3727" spans="27:35" ht="18">
      <c r="AA3727" s="116"/>
      <c r="AB3727" s="87"/>
      <c r="AC3727" s="116"/>
      <c r="AD3727" s="116"/>
      <c r="AE3727" s="116"/>
      <c r="AF3727" s="116"/>
      <c r="AG3727" s="116"/>
      <c r="AH3727" s="116"/>
      <c r="AI3727" s="116"/>
    </row>
    <row r="3728" spans="27:35" ht="18">
      <c r="AA3728" s="116"/>
      <c r="AB3728" s="87"/>
      <c r="AC3728" s="116"/>
      <c r="AD3728" s="116"/>
      <c r="AE3728" s="116"/>
      <c r="AF3728" s="116"/>
      <c r="AG3728" s="116"/>
      <c r="AH3728" s="116"/>
      <c r="AI3728" s="116"/>
    </row>
    <row r="3729" spans="27:35" ht="18">
      <c r="AA3729" s="116"/>
      <c r="AB3729" s="87"/>
      <c r="AC3729" s="116"/>
      <c r="AD3729" s="116"/>
      <c r="AE3729" s="116"/>
      <c r="AF3729" s="116"/>
      <c r="AG3729" s="116"/>
      <c r="AH3729" s="116"/>
      <c r="AI3729" s="116"/>
    </row>
    <row r="3730" spans="27:35" ht="18">
      <c r="AA3730" s="116"/>
      <c r="AB3730" s="87"/>
      <c r="AC3730" s="116"/>
      <c r="AD3730" s="116"/>
      <c r="AE3730" s="116"/>
      <c r="AF3730" s="116"/>
      <c r="AG3730" s="116"/>
      <c r="AH3730" s="116"/>
      <c r="AI3730" s="116"/>
    </row>
    <row r="3731" spans="27:35" ht="18">
      <c r="AA3731" s="116"/>
      <c r="AB3731" s="87"/>
      <c r="AC3731" s="116"/>
      <c r="AD3731" s="116"/>
      <c r="AE3731" s="116"/>
      <c r="AF3731" s="116"/>
      <c r="AG3731" s="116"/>
      <c r="AH3731" s="116"/>
      <c r="AI3731" s="116"/>
    </row>
    <row r="3732" spans="27:35" ht="18">
      <c r="AA3732" s="116"/>
      <c r="AB3732" s="87"/>
      <c r="AC3732" s="116"/>
      <c r="AD3732" s="116"/>
      <c r="AE3732" s="116"/>
      <c r="AF3732" s="116"/>
      <c r="AG3732" s="116"/>
      <c r="AH3732" s="116"/>
      <c r="AI3732" s="116"/>
    </row>
    <row r="3733" spans="27:35" ht="18">
      <c r="AA3733" s="116"/>
      <c r="AB3733" s="87"/>
      <c r="AC3733" s="116"/>
      <c r="AD3733" s="116"/>
      <c r="AE3733" s="116"/>
      <c r="AF3733" s="116"/>
      <c r="AG3733" s="116"/>
      <c r="AH3733" s="116"/>
      <c r="AI3733" s="116"/>
    </row>
    <row r="3734" spans="27:35" ht="18">
      <c r="AA3734" s="116"/>
      <c r="AB3734" s="184"/>
      <c r="AC3734" s="116"/>
      <c r="AD3734" s="116"/>
      <c r="AE3734" s="116"/>
      <c r="AF3734" s="116"/>
      <c r="AG3734" s="116"/>
      <c r="AH3734" s="116"/>
      <c r="AI3734" s="116"/>
    </row>
    <row r="3735" spans="27:35" ht="18">
      <c r="AA3735" s="116"/>
      <c r="AB3735" s="184"/>
      <c r="AC3735" s="116"/>
      <c r="AD3735" s="116"/>
      <c r="AE3735" s="116"/>
      <c r="AF3735" s="116"/>
      <c r="AG3735" s="116"/>
      <c r="AH3735" s="116"/>
      <c r="AI3735" s="116"/>
    </row>
    <row r="3736" spans="27:35" ht="18">
      <c r="AA3736" s="116"/>
      <c r="AB3736" s="87"/>
      <c r="AC3736" s="116"/>
      <c r="AD3736" s="116"/>
      <c r="AE3736" s="116"/>
      <c r="AF3736" s="116"/>
      <c r="AG3736" s="116"/>
      <c r="AH3736" s="116"/>
      <c r="AI3736" s="116"/>
    </row>
    <row r="3737" spans="27:35" ht="18">
      <c r="AA3737" s="116"/>
      <c r="AB3737" s="87"/>
      <c r="AC3737" s="116"/>
      <c r="AD3737" s="116"/>
      <c r="AE3737" s="116"/>
      <c r="AF3737" s="116"/>
      <c r="AG3737" s="116"/>
      <c r="AH3737" s="116"/>
      <c r="AI3737" s="116"/>
    </row>
    <row r="3738" spans="27:35" ht="18">
      <c r="AA3738" s="116"/>
      <c r="AB3738" s="87"/>
      <c r="AC3738" s="116"/>
      <c r="AD3738" s="116"/>
      <c r="AE3738" s="116"/>
      <c r="AF3738" s="116"/>
      <c r="AG3738" s="116"/>
      <c r="AH3738" s="116"/>
      <c r="AI3738" s="116"/>
    </row>
    <row r="3739" spans="27:35" ht="18">
      <c r="AA3739" s="116"/>
      <c r="AB3739" s="87"/>
      <c r="AC3739" s="116"/>
      <c r="AD3739" s="116"/>
      <c r="AE3739" s="116"/>
      <c r="AF3739" s="116"/>
      <c r="AG3739" s="116"/>
      <c r="AH3739" s="116"/>
      <c r="AI3739" s="116"/>
    </row>
    <row r="3740" spans="27:35" ht="18">
      <c r="AA3740" s="116"/>
      <c r="AB3740" s="87"/>
      <c r="AC3740" s="116"/>
      <c r="AD3740" s="116"/>
      <c r="AE3740" s="116"/>
      <c r="AF3740" s="116"/>
      <c r="AG3740" s="116"/>
      <c r="AH3740" s="116"/>
      <c r="AI3740" s="116"/>
    </row>
    <row r="3741" spans="27:35" ht="18">
      <c r="AA3741" s="116"/>
      <c r="AB3741" s="87"/>
      <c r="AC3741" s="116"/>
      <c r="AD3741" s="116"/>
      <c r="AE3741" s="116"/>
      <c r="AF3741" s="116"/>
      <c r="AG3741" s="116"/>
      <c r="AH3741" s="116"/>
      <c r="AI3741" s="116"/>
    </row>
    <row r="3742" spans="27:35" ht="18">
      <c r="AA3742" s="116"/>
      <c r="AB3742" s="87"/>
      <c r="AC3742" s="116"/>
      <c r="AD3742" s="116"/>
      <c r="AE3742" s="116"/>
      <c r="AF3742" s="116"/>
      <c r="AG3742" s="116"/>
      <c r="AH3742" s="116"/>
      <c r="AI3742" s="116"/>
    </row>
    <row r="3743" spans="27:35" ht="18">
      <c r="AA3743" s="116"/>
      <c r="AB3743" s="87"/>
      <c r="AC3743" s="116"/>
      <c r="AD3743" s="116"/>
      <c r="AE3743" s="116"/>
      <c r="AF3743" s="116"/>
      <c r="AG3743" s="116"/>
      <c r="AH3743" s="116"/>
      <c r="AI3743" s="116"/>
    </row>
    <row r="3744" spans="27:35" ht="18">
      <c r="AA3744" s="116"/>
      <c r="AB3744" s="87"/>
      <c r="AC3744" s="116"/>
      <c r="AD3744" s="116"/>
      <c r="AE3744" s="116"/>
      <c r="AF3744" s="116"/>
      <c r="AG3744" s="116"/>
      <c r="AH3744" s="116"/>
      <c r="AI3744" s="116"/>
    </row>
    <row r="3745" spans="27:35" ht="18">
      <c r="AA3745" s="116"/>
      <c r="AB3745" s="87"/>
      <c r="AC3745" s="116"/>
      <c r="AD3745" s="116"/>
      <c r="AE3745" s="116"/>
      <c r="AF3745" s="116"/>
      <c r="AG3745" s="116"/>
      <c r="AH3745" s="116"/>
      <c r="AI3745" s="116"/>
    </row>
    <row r="3746" spans="27:35" ht="18">
      <c r="AA3746" s="116"/>
      <c r="AB3746" s="184"/>
      <c r="AC3746" s="116"/>
      <c r="AD3746" s="116"/>
      <c r="AE3746" s="116"/>
      <c r="AF3746" s="116"/>
      <c r="AG3746" s="116"/>
      <c r="AH3746" s="116"/>
      <c r="AI3746" s="116"/>
    </row>
    <row r="3747" spans="27:35" ht="18">
      <c r="AA3747" s="116"/>
      <c r="AB3747" s="184"/>
      <c r="AC3747" s="116"/>
      <c r="AD3747" s="116"/>
      <c r="AE3747" s="116"/>
      <c r="AF3747" s="116"/>
      <c r="AG3747" s="116"/>
      <c r="AH3747" s="116"/>
      <c r="AI3747" s="116"/>
    </row>
    <row r="3748" spans="27:35" ht="18">
      <c r="AA3748" s="116"/>
      <c r="AB3748" s="87"/>
      <c r="AC3748" s="116"/>
      <c r="AD3748" s="116"/>
      <c r="AE3748" s="116"/>
      <c r="AF3748" s="116"/>
      <c r="AG3748" s="116"/>
      <c r="AH3748" s="116"/>
      <c r="AI3748" s="116"/>
    </row>
    <row r="3749" spans="27:35" ht="18">
      <c r="AA3749" s="116"/>
      <c r="AB3749" s="87"/>
      <c r="AC3749" s="116"/>
      <c r="AD3749" s="116"/>
      <c r="AE3749" s="116"/>
      <c r="AF3749" s="116"/>
      <c r="AG3749" s="116"/>
      <c r="AH3749" s="116"/>
      <c r="AI3749" s="116"/>
    </row>
    <row r="3750" spans="27:35" ht="18">
      <c r="AA3750" s="116"/>
      <c r="AB3750" s="87"/>
      <c r="AC3750" s="116"/>
      <c r="AD3750" s="116"/>
      <c r="AE3750" s="116"/>
      <c r="AF3750" s="116"/>
      <c r="AG3750" s="116"/>
      <c r="AH3750" s="116"/>
      <c r="AI3750" s="116"/>
    </row>
    <row r="3751" spans="27:35" ht="18">
      <c r="AA3751" s="116"/>
      <c r="AB3751" s="87"/>
      <c r="AC3751" s="116"/>
      <c r="AD3751" s="116"/>
      <c r="AE3751" s="116"/>
      <c r="AF3751" s="116"/>
      <c r="AG3751" s="116"/>
      <c r="AH3751" s="116"/>
      <c r="AI3751" s="116"/>
    </row>
    <row r="3752" spans="27:35" ht="18">
      <c r="AA3752" s="116"/>
      <c r="AB3752" s="87"/>
      <c r="AC3752" s="116"/>
      <c r="AD3752" s="116"/>
      <c r="AE3752" s="116"/>
      <c r="AF3752" s="116"/>
      <c r="AG3752" s="116"/>
      <c r="AH3752" s="116"/>
      <c r="AI3752" s="116"/>
    </row>
    <row r="3753" spans="27:35" ht="18">
      <c r="AA3753" s="116"/>
      <c r="AB3753" s="87"/>
      <c r="AC3753" s="116"/>
      <c r="AD3753" s="116"/>
      <c r="AE3753" s="116"/>
      <c r="AF3753" s="116"/>
      <c r="AG3753" s="116"/>
      <c r="AH3753" s="116"/>
      <c r="AI3753" s="116"/>
    </row>
    <row r="3754" spans="27:35" ht="18">
      <c r="AA3754" s="116"/>
      <c r="AB3754" s="87"/>
      <c r="AC3754" s="116"/>
      <c r="AD3754" s="116"/>
      <c r="AE3754" s="116"/>
      <c r="AF3754" s="116"/>
      <c r="AG3754" s="116"/>
      <c r="AH3754" s="116"/>
      <c r="AI3754" s="116"/>
    </row>
    <row r="3755" spans="27:35" ht="18">
      <c r="AA3755" s="116"/>
      <c r="AB3755" s="87"/>
      <c r="AC3755" s="116"/>
      <c r="AD3755" s="116"/>
      <c r="AE3755" s="116"/>
      <c r="AF3755" s="116"/>
      <c r="AG3755" s="116"/>
      <c r="AH3755" s="116"/>
      <c r="AI3755" s="116"/>
    </row>
    <row r="3756" spans="27:35" ht="18">
      <c r="AA3756" s="116"/>
      <c r="AB3756" s="87"/>
      <c r="AC3756" s="116"/>
      <c r="AD3756" s="116"/>
      <c r="AE3756" s="116"/>
      <c r="AF3756" s="116"/>
      <c r="AG3756" s="116"/>
      <c r="AH3756" s="116"/>
      <c r="AI3756" s="116"/>
    </row>
    <row r="3757" spans="27:35" ht="18">
      <c r="AA3757" s="116"/>
      <c r="AB3757" s="87"/>
      <c r="AC3757" s="116"/>
      <c r="AD3757" s="116"/>
      <c r="AE3757" s="116"/>
      <c r="AF3757" s="116"/>
      <c r="AG3757" s="116"/>
      <c r="AH3757" s="116"/>
      <c r="AI3757" s="116"/>
    </row>
    <row r="3758" spans="27:35" ht="18">
      <c r="AA3758" s="116"/>
      <c r="AB3758" s="87"/>
      <c r="AC3758" s="116"/>
      <c r="AD3758" s="116"/>
      <c r="AE3758" s="116"/>
      <c r="AF3758" s="116"/>
      <c r="AG3758" s="116"/>
      <c r="AH3758" s="116"/>
      <c r="AI3758" s="116"/>
    </row>
    <row r="3759" spans="27:35" ht="18">
      <c r="AA3759" s="116"/>
      <c r="AB3759" s="87"/>
      <c r="AC3759" s="116"/>
      <c r="AD3759" s="116"/>
      <c r="AE3759" s="116"/>
      <c r="AF3759" s="116"/>
      <c r="AG3759" s="116"/>
      <c r="AH3759" s="116"/>
      <c r="AI3759" s="116"/>
    </row>
    <row r="3760" spans="27:35" ht="18">
      <c r="AA3760" s="116"/>
      <c r="AB3760" s="87"/>
      <c r="AC3760" s="116"/>
      <c r="AD3760" s="116"/>
      <c r="AE3760" s="116"/>
      <c r="AF3760" s="116"/>
      <c r="AG3760" s="116"/>
      <c r="AH3760" s="116"/>
      <c r="AI3760" s="116"/>
    </row>
    <row r="3761" spans="27:35" ht="18">
      <c r="AA3761" s="116"/>
      <c r="AB3761" s="184"/>
      <c r="AC3761" s="116"/>
      <c r="AD3761" s="116"/>
      <c r="AE3761" s="116"/>
      <c r="AF3761" s="116"/>
      <c r="AG3761" s="116"/>
      <c r="AH3761" s="116"/>
      <c r="AI3761" s="116"/>
    </row>
    <row r="3762" spans="27:35" ht="18">
      <c r="AA3762" s="116"/>
      <c r="AB3762" s="184"/>
      <c r="AC3762" s="116"/>
      <c r="AD3762" s="116"/>
      <c r="AE3762" s="116"/>
      <c r="AF3762" s="116"/>
      <c r="AG3762" s="116"/>
      <c r="AH3762" s="116"/>
      <c r="AI3762" s="116"/>
    </row>
    <row r="3763" spans="27:35" ht="18">
      <c r="AA3763" s="116"/>
      <c r="AB3763" s="87"/>
      <c r="AC3763" s="116"/>
      <c r="AD3763" s="116"/>
      <c r="AE3763" s="116"/>
      <c r="AF3763" s="116"/>
      <c r="AG3763" s="116"/>
      <c r="AH3763" s="116"/>
      <c r="AI3763" s="116"/>
    </row>
    <row r="3764" spans="27:35" ht="18">
      <c r="AA3764" s="116"/>
      <c r="AB3764" s="87"/>
      <c r="AC3764" s="116"/>
      <c r="AD3764" s="116"/>
      <c r="AE3764" s="116"/>
      <c r="AF3764" s="116"/>
      <c r="AG3764" s="116"/>
      <c r="AH3764" s="116"/>
      <c r="AI3764" s="116"/>
    </row>
    <row r="3765" spans="27:35" ht="18">
      <c r="AA3765" s="116"/>
      <c r="AB3765" s="87"/>
      <c r="AC3765" s="116"/>
      <c r="AD3765" s="116"/>
      <c r="AE3765" s="116"/>
      <c r="AF3765" s="116"/>
      <c r="AG3765" s="116"/>
      <c r="AH3765" s="116"/>
      <c r="AI3765" s="116"/>
    </row>
    <row r="3766" spans="27:35" ht="18">
      <c r="AA3766" s="116"/>
      <c r="AB3766" s="87"/>
      <c r="AC3766" s="116"/>
      <c r="AD3766" s="116"/>
      <c r="AE3766" s="116"/>
      <c r="AF3766" s="116"/>
      <c r="AG3766" s="116"/>
      <c r="AH3766" s="116"/>
      <c r="AI3766" s="116"/>
    </row>
    <row r="3767" spans="27:35" ht="18">
      <c r="AA3767" s="116"/>
      <c r="AB3767" s="87"/>
      <c r="AC3767" s="116"/>
      <c r="AD3767" s="116"/>
      <c r="AE3767" s="116"/>
      <c r="AF3767" s="116"/>
      <c r="AG3767" s="116"/>
      <c r="AH3767" s="116"/>
      <c r="AI3767" s="116"/>
    </row>
    <row r="3768" spans="27:35" ht="18">
      <c r="AA3768" s="116"/>
      <c r="AB3768" s="87"/>
      <c r="AC3768" s="116"/>
      <c r="AD3768" s="116"/>
      <c r="AE3768" s="116"/>
      <c r="AF3768" s="116"/>
      <c r="AG3768" s="116"/>
      <c r="AH3768" s="116"/>
      <c r="AI3768" s="116"/>
    </row>
    <row r="3769" spans="27:35" ht="18">
      <c r="AA3769" s="116"/>
      <c r="AB3769" s="87"/>
      <c r="AC3769" s="116"/>
      <c r="AD3769" s="116"/>
      <c r="AE3769" s="116"/>
      <c r="AF3769" s="116"/>
      <c r="AG3769" s="116"/>
      <c r="AH3769" s="116"/>
      <c r="AI3769" s="116"/>
    </row>
    <row r="3770" spans="27:35" ht="18">
      <c r="AA3770" s="116"/>
      <c r="AB3770" s="184"/>
      <c r="AC3770" s="116"/>
      <c r="AD3770" s="116"/>
      <c r="AE3770" s="116"/>
      <c r="AF3770" s="116"/>
      <c r="AG3770" s="116"/>
      <c r="AH3770" s="116"/>
      <c r="AI3770" s="116"/>
    </row>
    <row r="3771" spans="27:35" ht="18">
      <c r="AA3771" s="116"/>
      <c r="AB3771" s="87"/>
      <c r="AC3771" s="116"/>
      <c r="AD3771" s="116"/>
      <c r="AE3771" s="116"/>
      <c r="AF3771" s="116"/>
      <c r="AG3771" s="116"/>
      <c r="AH3771" s="116"/>
      <c r="AI3771" s="116"/>
    </row>
    <row r="3772" spans="27:35" ht="18">
      <c r="AA3772" s="116"/>
      <c r="AB3772" s="87"/>
      <c r="AC3772" s="116"/>
      <c r="AD3772" s="116"/>
      <c r="AE3772" s="116"/>
      <c r="AF3772" s="116"/>
      <c r="AG3772" s="116"/>
      <c r="AH3772" s="116"/>
      <c r="AI3772" s="116"/>
    </row>
    <row r="3773" spans="27:35" ht="18">
      <c r="AA3773" s="116"/>
      <c r="AB3773" s="87"/>
      <c r="AC3773" s="116"/>
      <c r="AD3773" s="116"/>
      <c r="AE3773" s="116"/>
      <c r="AF3773" s="116"/>
      <c r="AG3773" s="116"/>
      <c r="AH3773" s="116"/>
      <c r="AI3773" s="116"/>
    </row>
    <row r="3774" spans="27:35" ht="18">
      <c r="AA3774" s="116"/>
      <c r="AB3774" s="87"/>
      <c r="AC3774" s="116"/>
      <c r="AD3774" s="116"/>
      <c r="AE3774" s="116"/>
      <c r="AF3774" s="116"/>
      <c r="AG3774" s="116"/>
      <c r="AH3774" s="116"/>
      <c r="AI3774" s="116"/>
    </row>
    <row r="3775" spans="27:35" ht="18">
      <c r="AA3775" s="116"/>
      <c r="AB3775" s="87"/>
      <c r="AC3775" s="116"/>
      <c r="AD3775" s="116"/>
      <c r="AE3775" s="116"/>
      <c r="AF3775" s="116"/>
      <c r="AG3775" s="116"/>
      <c r="AH3775" s="116"/>
      <c r="AI3775" s="116"/>
    </row>
    <row r="3776" spans="27:35" ht="18">
      <c r="AA3776" s="116"/>
      <c r="AB3776" s="87"/>
      <c r="AC3776" s="116"/>
      <c r="AD3776" s="116"/>
      <c r="AE3776" s="116"/>
      <c r="AF3776" s="116"/>
      <c r="AG3776" s="116"/>
      <c r="AH3776" s="116"/>
      <c r="AI3776" s="116"/>
    </row>
    <row r="3777" spans="27:35" ht="18">
      <c r="AA3777" s="116"/>
      <c r="AB3777" s="184"/>
      <c r="AC3777" s="116"/>
      <c r="AD3777" s="116"/>
      <c r="AE3777" s="116"/>
      <c r="AF3777" s="116"/>
      <c r="AG3777" s="116"/>
      <c r="AH3777" s="116"/>
      <c r="AI3777" s="116"/>
    </row>
    <row r="3778" spans="27:35" ht="18">
      <c r="AA3778" s="116"/>
      <c r="AB3778" s="184"/>
      <c r="AC3778" s="116"/>
      <c r="AD3778" s="116"/>
      <c r="AE3778" s="116"/>
      <c r="AF3778" s="116"/>
      <c r="AG3778" s="116"/>
      <c r="AH3778" s="116"/>
      <c r="AI3778" s="116"/>
    </row>
    <row r="3779" spans="27:35" ht="18">
      <c r="AA3779" s="116"/>
      <c r="AB3779" s="87"/>
      <c r="AC3779" s="116"/>
      <c r="AD3779" s="116"/>
      <c r="AE3779" s="116"/>
      <c r="AF3779" s="116"/>
      <c r="AG3779" s="116"/>
      <c r="AH3779" s="116"/>
      <c r="AI3779" s="116"/>
    </row>
    <row r="3780" spans="27:35" ht="18">
      <c r="AA3780" s="116"/>
      <c r="AB3780" s="87"/>
      <c r="AC3780" s="116"/>
      <c r="AD3780" s="116"/>
      <c r="AE3780" s="116"/>
      <c r="AF3780" s="116"/>
      <c r="AG3780" s="116"/>
      <c r="AH3780" s="116"/>
      <c r="AI3780" s="116"/>
    </row>
    <row r="3781" spans="27:35" ht="18">
      <c r="AA3781" s="116"/>
      <c r="AB3781" s="87"/>
      <c r="AC3781" s="116"/>
      <c r="AD3781" s="116"/>
      <c r="AE3781" s="116"/>
      <c r="AF3781" s="116"/>
      <c r="AG3781" s="116"/>
      <c r="AH3781" s="116"/>
      <c r="AI3781" s="116"/>
    </row>
    <row r="3782" spans="27:35" ht="18">
      <c r="AA3782" s="116"/>
      <c r="AB3782" s="87"/>
      <c r="AC3782" s="116"/>
      <c r="AD3782" s="116"/>
      <c r="AE3782" s="116"/>
      <c r="AF3782" s="116"/>
      <c r="AG3782" s="116"/>
      <c r="AH3782" s="116"/>
      <c r="AI3782" s="116"/>
    </row>
    <row r="3783" spans="27:35" ht="18">
      <c r="AA3783" s="116"/>
      <c r="AB3783" s="87"/>
      <c r="AC3783" s="116"/>
      <c r="AD3783" s="116"/>
      <c r="AE3783" s="116"/>
      <c r="AF3783" s="116"/>
      <c r="AG3783" s="116"/>
      <c r="AH3783" s="116"/>
      <c r="AI3783" s="116"/>
    </row>
    <row r="3784" spans="27:35" ht="18">
      <c r="AA3784" s="116"/>
      <c r="AB3784" s="87"/>
      <c r="AC3784" s="116"/>
      <c r="AD3784" s="116"/>
      <c r="AE3784" s="116"/>
      <c r="AF3784" s="116"/>
      <c r="AG3784" s="116"/>
      <c r="AH3784" s="116"/>
      <c r="AI3784" s="116"/>
    </row>
    <row r="3785" spans="27:35" ht="18">
      <c r="AA3785" s="116"/>
      <c r="AB3785" s="184"/>
      <c r="AC3785" s="116"/>
      <c r="AD3785" s="116"/>
      <c r="AE3785" s="116"/>
      <c r="AF3785" s="116"/>
      <c r="AG3785" s="116"/>
      <c r="AH3785" s="116"/>
      <c r="AI3785" s="116"/>
    </row>
    <row r="3786" spans="27:35" ht="18">
      <c r="AA3786" s="116"/>
      <c r="AB3786" s="184"/>
      <c r="AC3786" s="116"/>
      <c r="AD3786" s="116"/>
      <c r="AE3786" s="116"/>
      <c r="AF3786" s="116"/>
      <c r="AG3786" s="116"/>
      <c r="AH3786" s="116"/>
      <c r="AI3786" s="116"/>
    </row>
    <row r="3787" spans="27:35" ht="18">
      <c r="AA3787" s="116"/>
      <c r="AB3787" s="87"/>
      <c r="AC3787" s="116"/>
      <c r="AD3787" s="116"/>
      <c r="AE3787" s="116"/>
      <c r="AF3787" s="116"/>
      <c r="AG3787" s="116"/>
      <c r="AH3787" s="116"/>
      <c r="AI3787" s="116"/>
    </row>
    <row r="3788" spans="27:35" ht="18">
      <c r="AA3788" s="116"/>
      <c r="AB3788" s="87"/>
      <c r="AC3788" s="116"/>
      <c r="AD3788" s="116"/>
      <c r="AE3788" s="116"/>
      <c r="AF3788" s="116"/>
      <c r="AG3788" s="116"/>
      <c r="AH3788" s="116"/>
      <c r="AI3788" s="116"/>
    </row>
    <row r="3789" spans="27:35" ht="18">
      <c r="AA3789" s="116"/>
      <c r="AB3789" s="184"/>
      <c r="AC3789" s="116"/>
      <c r="AD3789" s="116"/>
      <c r="AE3789" s="116"/>
      <c r="AF3789" s="116"/>
      <c r="AG3789" s="116"/>
      <c r="AH3789" s="116"/>
      <c r="AI3789" s="116"/>
    </row>
    <row r="3790" spans="27:35" ht="18">
      <c r="AA3790" s="116"/>
      <c r="AB3790" s="87"/>
      <c r="AC3790" s="116"/>
      <c r="AD3790" s="116"/>
      <c r="AE3790" s="116"/>
      <c r="AF3790" s="116"/>
      <c r="AG3790" s="116"/>
      <c r="AH3790" s="116"/>
      <c r="AI3790" s="116"/>
    </row>
    <row r="3791" spans="27:35" ht="18">
      <c r="AA3791" s="116"/>
      <c r="AB3791" s="87"/>
      <c r="AC3791" s="116"/>
      <c r="AD3791" s="116"/>
      <c r="AE3791" s="116"/>
      <c r="AF3791" s="116"/>
      <c r="AG3791" s="116"/>
      <c r="AH3791" s="116"/>
      <c r="AI3791" s="116"/>
    </row>
    <row r="3792" spans="27:35" ht="18">
      <c r="AA3792" s="116"/>
      <c r="AB3792" s="87"/>
      <c r="AC3792" s="116"/>
      <c r="AD3792" s="116"/>
      <c r="AE3792" s="116"/>
      <c r="AF3792" s="116"/>
      <c r="AG3792" s="116"/>
      <c r="AH3792" s="116"/>
      <c r="AI3792" s="116"/>
    </row>
    <row r="3793" spans="27:35" ht="18">
      <c r="AA3793" s="116"/>
      <c r="AB3793" s="87"/>
      <c r="AC3793" s="116"/>
      <c r="AD3793" s="116"/>
      <c r="AE3793" s="116"/>
      <c r="AF3793" s="116"/>
      <c r="AG3793" s="116"/>
      <c r="AH3793" s="116"/>
      <c r="AI3793" s="116"/>
    </row>
    <row r="3794" spans="27:35" ht="18">
      <c r="AA3794" s="116"/>
      <c r="AB3794" s="87"/>
      <c r="AC3794" s="116"/>
      <c r="AD3794" s="116"/>
      <c r="AE3794" s="116"/>
      <c r="AF3794" s="116"/>
      <c r="AG3794" s="116"/>
      <c r="AH3794" s="116"/>
      <c r="AI3794" s="116"/>
    </row>
    <row r="3795" spans="27:35" ht="18">
      <c r="AA3795" s="116"/>
      <c r="AB3795" s="87"/>
      <c r="AC3795" s="116"/>
      <c r="AD3795" s="116"/>
      <c r="AE3795" s="116"/>
      <c r="AF3795" s="116"/>
      <c r="AG3795" s="116"/>
      <c r="AH3795" s="116"/>
      <c r="AI3795" s="116"/>
    </row>
    <row r="3796" spans="27:35" ht="18">
      <c r="AA3796" s="116"/>
      <c r="AB3796" s="184"/>
      <c r="AC3796" s="116"/>
      <c r="AD3796" s="116"/>
      <c r="AE3796" s="116"/>
      <c r="AF3796" s="116"/>
      <c r="AG3796" s="116"/>
      <c r="AH3796" s="116"/>
      <c r="AI3796" s="116"/>
    </row>
    <row r="3797" spans="27:35" ht="18">
      <c r="AA3797" s="116"/>
      <c r="AB3797" s="87"/>
      <c r="AC3797" s="116"/>
      <c r="AD3797" s="116"/>
      <c r="AE3797" s="116"/>
      <c r="AF3797" s="116"/>
      <c r="AG3797" s="116"/>
      <c r="AH3797" s="116"/>
      <c r="AI3797" s="116"/>
    </row>
    <row r="3798" spans="27:35" ht="18">
      <c r="AA3798" s="116"/>
      <c r="AB3798" s="87"/>
      <c r="AC3798" s="116"/>
      <c r="AD3798" s="116"/>
      <c r="AE3798" s="116"/>
      <c r="AF3798" s="116"/>
      <c r="AG3798" s="116"/>
      <c r="AH3798" s="116"/>
      <c r="AI3798" s="116"/>
    </row>
    <row r="3799" spans="27:35" ht="18">
      <c r="AA3799" s="116"/>
      <c r="AB3799" s="184"/>
      <c r="AC3799" s="116"/>
      <c r="AD3799" s="116"/>
      <c r="AE3799" s="116"/>
      <c r="AF3799" s="116"/>
      <c r="AG3799" s="116"/>
      <c r="AH3799" s="116"/>
      <c r="AI3799" s="116"/>
    </row>
    <row r="3800" spans="27:35" ht="18">
      <c r="AA3800" s="116"/>
      <c r="AB3800" s="184"/>
      <c r="AC3800" s="116"/>
      <c r="AD3800" s="116"/>
      <c r="AE3800" s="116"/>
      <c r="AF3800" s="116"/>
      <c r="AG3800" s="116"/>
      <c r="AH3800" s="116"/>
      <c r="AI3800" s="116"/>
    </row>
    <row r="3801" spans="27:35" ht="18">
      <c r="AA3801" s="116"/>
      <c r="AB3801" s="87"/>
      <c r="AC3801" s="116"/>
      <c r="AD3801" s="116"/>
      <c r="AE3801" s="116"/>
      <c r="AF3801" s="116"/>
      <c r="AG3801" s="116"/>
      <c r="AH3801" s="116"/>
      <c r="AI3801" s="116"/>
    </row>
    <row r="3802" spans="27:35" ht="18">
      <c r="AA3802" s="116"/>
      <c r="AB3802" s="87"/>
      <c r="AC3802" s="116"/>
      <c r="AD3802" s="116"/>
      <c r="AE3802" s="116"/>
      <c r="AF3802" s="116"/>
      <c r="AG3802" s="116"/>
      <c r="AH3802" s="116"/>
      <c r="AI3802" s="116"/>
    </row>
    <row r="3803" spans="27:35" ht="18">
      <c r="AA3803" s="116"/>
      <c r="AB3803" s="87"/>
      <c r="AC3803" s="116"/>
      <c r="AD3803" s="116"/>
      <c r="AE3803" s="116"/>
      <c r="AF3803" s="116"/>
      <c r="AG3803" s="116"/>
      <c r="AH3803" s="116"/>
      <c r="AI3803" s="116"/>
    </row>
    <row r="3804" spans="27:35" ht="18">
      <c r="AA3804" s="116"/>
      <c r="AB3804" s="184"/>
      <c r="AC3804" s="116"/>
      <c r="AD3804" s="116"/>
      <c r="AE3804" s="116"/>
      <c r="AF3804" s="116"/>
      <c r="AG3804" s="116"/>
      <c r="AH3804" s="116"/>
      <c r="AI3804" s="116"/>
    </row>
    <row r="3805" spans="27:35" ht="18">
      <c r="AA3805" s="116"/>
      <c r="AB3805" s="184"/>
      <c r="AC3805" s="116"/>
      <c r="AD3805" s="116"/>
      <c r="AE3805" s="116"/>
      <c r="AF3805" s="116"/>
      <c r="AG3805" s="116"/>
      <c r="AH3805" s="116"/>
      <c r="AI3805" s="116"/>
    </row>
    <row r="3806" spans="27:35" ht="18">
      <c r="AA3806" s="116"/>
      <c r="AB3806" s="87"/>
      <c r="AC3806" s="116"/>
      <c r="AD3806" s="116"/>
      <c r="AE3806" s="116"/>
      <c r="AF3806" s="116"/>
      <c r="AG3806" s="116"/>
      <c r="AH3806" s="116"/>
      <c r="AI3806" s="116"/>
    </row>
    <row r="3807" spans="27:35" ht="18">
      <c r="AA3807" s="116"/>
      <c r="AB3807" s="87"/>
      <c r="AC3807" s="116"/>
      <c r="AD3807" s="116"/>
      <c r="AE3807" s="116"/>
      <c r="AF3807" s="116"/>
      <c r="AG3807" s="116"/>
      <c r="AH3807" s="116"/>
      <c r="AI3807" s="116"/>
    </row>
    <row r="3808" spans="27:35" ht="18">
      <c r="AA3808" s="116"/>
      <c r="AB3808" s="87"/>
      <c r="AC3808" s="116"/>
      <c r="AD3808" s="116"/>
      <c r="AE3808" s="116"/>
      <c r="AF3808" s="116"/>
      <c r="AG3808" s="116"/>
      <c r="AH3808" s="116"/>
      <c r="AI3808" s="116"/>
    </row>
    <row r="3809" spans="27:35" ht="18">
      <c r="AA3809" s="116"/>
      <c r="AB3809" s="87"/>
      <c r="AC3809" s="116"/>
      <c r="AD3809" s="116"/>
      <c r="AE3809" s="116"/>
      <c r="AF3809" s="116"/>
      <c r="AG3809" s="116"/>
      <c r="AH3809" s="116"/>
      <c r="AI3809" s="116"/>
    </row>
    <row r="3810" spans="27:35" ht="18">
      <c r="AA3810" s="116"/>
      <c r="AB3810" s="184"/>
      <c r="AC3810" s="116"/>
      <c r="AD3810" s="116"/>
      <c r="AE3810" s="116"/>
      <c r="AF3810" s="116"/>
      <c r="AG3810" s="116"/>
      <c r="AH3810" s="116"/>
      <c r="AI3810" s="116"/>
    </row>
    <row r="3811" spans="27:35" ht="18">
      <c r="AA3811" s="116"/>
      <c r="AB3811" s="184"/>
      <c r="AC3811" s="116"/>
      <c r="AD3811" s="116"/>
      <c r="AE3811" s="116"/>
      <c r="AF3811" s="116"/>
      <c r="AG3811" s="116"/>
      <c r="AH3811" s="116"/>
      <c r="AI3811" s="116"/>
    </row>
    <row r="3812" spans="27:35" ht="18">
      <c r="AA3812" s="116"/>
      <c r="AB3812" s="87"/>
      <c r="AC3812" s="116"/>
      <c r="AD3812" s="116"/>
      <c r="AE3812" s="116"/>
      <c r="AF3812" s="116"/>
      <c r="AG3812" s="116"/>
      <c r="AH3812" s="116"/>
      <c r="AI3812" s="116"/>
    </row>
    <row r="3813" spans="27:35" ht="18">
      <c r="AA3813" s="116"/>
      <c r="AB3813" s="87"/>
      <c r="AC3813" s="116"/>
      <c r="AD3813" s="116"/>
      <c r="AE3813" s="116"/>
      <c r="AF3813" s="116"/>
      <c r="AG3813" s="116"/>
      <c r="AH3813" s="116"/>
      <c r="AI3813" s="116"/>
    </row>
    <row r="3814" spans="27:35" ht="18">
      <c r="AA3814" s="116"/>
      <c r="AB3814" s="87"/>
      <c r="AC3814" s="116"/>
      <c r="AD3814" s="116"/>
      <c r="AE3814" s="116"/>
      <c r="AF3814" s="116"/>
      <c r="AG3814" s="116"/>
      <c r="AH3814" s="116"/>
      <c r="AI3814" s="116"/>
    </row>
    <row r="3815" spans="27:35" ht="18">
      <c r="AA3815" s="116"/>
      <c r="AB3815" s="87"/>
      <c r="AC3815" s="116"/>
      <c r="AD3815" s="116"/>
      <c r="AE3815" s="116"/>
      <c r="AF3815" s="116"/>
      <c r="AG3815" s="116"/>
      <c r="AH3815" s="116"/>
      <c r="AI3815" s="116"/>
    </row>
    <row r="3816" spans="27:35" ht="18">
      <c r="AA3816" s="116"/>
      <c r="AB3816" s="184"/>
      <c r="AC3816" s="116"/>
      <c r="AD3816" s="116"/>
      <c r="AE3816" s="116"/>
      <c r="AF3816" s="116"/>
      <c r="AG3816" s="116"/>
      <c r="AH3816" s="116"/>
      <c r="AI3816" s="116"/>
    </row>
    <row r="3817" spans="27:35" ht="18">
      <c r="AA3817" s="116"/>
      <c r="AB3817" s="184"/>
      <c r="AC3817" s="116"/>
      <c r="AD3817" s="116"/>
      <c r="AE3817" s="116"/>
      <c r="AF3817" s="116"/>
      <c r="AG3817" s="116"/>
      <c r="AH3817" s="116"/>
      <c r="AI3817" s="116"/>
    </row>
    <row r="3818" spans="27:35" ht="18">
      <c r="AA3818" s="116"/>
      <c r="AB3818" s="87"/>
      <c r="AC3818" s="116"/>
      <c r="AD3818" s="116"/>
      <c r="AE3818" s="116"/>
      <c r="AF3818" s="116"/>
      <c r="AG3818" s="116"/>
      <c r="AH3818" s="116"/>
      <c r="AI3818" s="116"/>
    </row>
    <row r="3819" spans="27:35" ht="18">
      <c r="AA3819" s="116"/>
      <c r="AB3819" s="87"/>
      <c r="AC3819" s="116"/>
      <c r="AD3819" s="116"/>
      <c r="AE3819" s="116"/>
      <c r="AF3819" s="116"/>
      <c r="AG3819" s="116"/>
      <c r="AH3819" s="116"/>
      <c r="AI3819" s="116"/>
    </row>
    <row r="3820" spans="27:35" ht="18">
      <c r="AA3820" s="116"/>
      <c r="AB3820" s="87"/>
      <c r="AC3820" s="116"/>
      <c r="AD3820" s="116"/>
      <c r="AE3820" s="116"/>
      <c r="AF3820" s="116"/>
      <c r="AG3820" s="116"/>
      <c r="AH3820" s="116"/>
      <c r="AI3820" s="116"/>
    </row>
    <row r="3821" spans="27:35" ht="18">
      <c r="AA3821" s="116"/>
      <c r="AB3821" s="184"/>
      <c r="AC3821" s="116"/>
      <c r="AD3821" s="116"/>
      <c r="AE3821" s="116"/>
      <c r="AF3821" s="116"/>
      <c r="AG3821" s="116"/>
      <c r="AH3821" s="116"/>
      <c r="AI3821" s="116"/>
    </row>
    <row r="3822" spans="27:35" ht="18">
      <c r="AA3822" s="116"/>
      <c r="AB3822" s="87"/>
      <c r="AC3822" s="116"/>
      <c r="AD3822" s="116"/>
      <c r="AE3822" s="116"/>
      <c r="AF3822" s="116"/>
      <c r="AG3822" s="116"/>
      <c r="AH3822" s="116"/>
      <c r="AI3822" s="116"/>
    </row>
    <row r="3823" spans="27:35" ht="18">
      <c r="AA3823" s="116"/>
      <c r="AB3823" s="87"/>
      <c r="AC3823" s="116"/>
      <c r="AD3823" s="116"/>
      <c r="AE3823" s="116"/>
      <c r="AF3823" s="116"/>
      <c r="AG3823" s="116"/>
      <c r="AH3823" s="116"/>
      <c r="AI3823" s="116"/>
    </row>
    <row r="3824" spans="27:35" ht="18">
      <c r="AA3824" s="116"/>
      <c r="AB3824" s="87"/>
      <c r="AC3824" s="116"/>
      <c r="AD3824" s="116"/>
      <c r="AE3824" s="116"/>
      <c r="AF3824" s="116"/>
      <c r="AG3824" s="116"/>
      <c r="AH3824" s="116"/>
      <c r="AI3824" s="116"/>
    </row>
    <row r="3825" spans="27:35" ht="18">
      <c r="AA3825" s="116"/>
      <c r="AB3825" s="87"/>
      <c r="AC3825" s="116"/>
      <c r="AD3825" s="116"/>
      <c r="AE3825" s="116"/>
      <c r="AF3825" s="116"/>
      <c r="AG3825" s="116"/>
      <c r="AH3825" s="116"/>
      <c r="AI3825" s="116"/>
    </row>
    <row r="3826" spans="27:35" ht="18">
      <c r="AA3826" s="116"/>
      <c r="AB3826" s="87"/>
      <c r="AC3826" s="116"/>
      <c r="AD3826" s="116"/>
      <c r="AE3826" s="116"/>
      <c r="AF3826" s="116"/>
      <c r="AG3826" s="116"/>
      <c r="AH3826" s="116"/>
      <c r="AI3826" s="116"/>
    </row>
    <row r="3827" spans="27:35" ht="18">
      <c r="AA3827" s="116"/>
      <c r="AB3827" s="87"/>
      <c r="AC3827" s="116"/>
      <c r="AD3827" s="116"/>
      <c r="AE3827" s="116"/>
      <c r="AF3827" s="116"/>
      <c r="AG3827" s="116"/>
      <c r="AH3827" s="116"/>
      <c r="AI3827" s="116"/>
    </row>
    <row r="3828" spans="27:35" ht="18">
      <c r="AA3828" s="116"/>
      <c r="AB3828" s="87"/>
      <c r="AC3828" s="116"/>
      <c r="AD3828" s="116"/>
      <c r="AE3828" s="116"/>
      <c r="AF3828" s="116"/>
      <c r="AG3828" s="116"/>
      <c r="AH3828" s="116"/>
      <c r="AI3828" s="116"/>
    </row>
    <row r="3829" spans="27:35" ht="18">
      <c r="AA3829" s="116"/>
      <c r="AB3829" s="87"/>
      <c r="AC3829" s="116"/>
      <c r="AD3829" s="116"/>
      <c r="AE3829" s="116"/>
      <c r="AF3829" s="116"/>
      <c r="AG3829" s="116"/>
      <c r="AH3829" s="116"/>
      <c r="AI3829" s="116"/>
    </row>
    <row r="3830" spans="27:35" ht="18">
      <c r="AA3830" s="116"/>
      <c r="AB3830" s="87"/>
      <c r="AC3830" s="116"/>
      <c r="AD3830" s="116"/>
      <c r="AE3830" s="116"/>
      <c r="AF3830" s="116"/>
      <c r="AG3830" s="116"/>
      <c r="AH3830" s="116"/>
      <c r="AI3830" s="116"/>
    </row>
    <row r="3831" spans="27:35" ht="18">
      <c r="AA3831" s="116"/>
      <c r="AB3831" s="184"/>
      <c r="AC3831" s="116"/>
      <c r="AD3831" s="116"/>
      <c r="AE3831" s="116"/>
      <c r="AF3831" s="116"/>
      <c r="AG3831" s="116"/>
      <c r="AH3831" s="116"/>
      <c r="AI3831" s="116"/>
    </row>
    <row r="3832" spans="27:35" ht="18">
      <c r="AA3832" s="116"/>
      <c r="AB3832" s="87"/>
      <c r="AC3832" s="116"/>
      <c r="AD3832" s="116"/>
      <c r="AE3832" s="116"/>
      <c r="AF3832" s="116"/>
      <c r="AG3832" s="116"/>
      <c r="AH3832" s="116"/>
      <c r="AI3832" s="116"/>
    </row>
    <row r="3833" spans="27:35" ht="18">
      <c r="AA3833" s="116"/>
      <c r="AB3833" s="87"/>
      <c r="AC3833" s="116"/>
      <c r="AD3833" s="116"/>
      <c r="AE3833" s="116"/>
      <c r="AF3833" s="116"/>
      <c r="AG3833" s="116"/>
      <c r="AH3833" s="116"/>
      <c r="AI3833" s="116"/>
    </row>
    <row r="3834" spans="27:35" ht="18">
      <c r="AA3834" s="116"/>
      <c r="AB3834" s="87"/>
      <c r="AC3834" s="116"/>
      <c r="AD3834" s="116"/>
      <c r="AE3834" s="116"/>
      <c r="AF3834" s="116"/>
      <c r="AG3834" s="116"/>
      <c r="AH3834" s="116"/>
      <c r="AI3834" s="116"/>
    </row>
    <row r="3835" spans="27:35" ht="18">
      <c r="AA3835" s="116"/>
      <c r="AB3835" s="87"/>
      <c r="AC3835" s="116"/>
      <c r="AD3835" s="116"/>
      <c r="AE3835" s="116"/>
      <c r="AF3835" s="116"/>
      <c r="AG3835" s="116"/>
      <c r="AH3835" s="116"/>
      <c r="AI3835" s="116"/>
    </row>
    <row r="3836" spans="27:35" ht="18">
      <c r="AA3836" s="116"/>
      <c r="AB3836" s="87"/>
      <c r="AC3836" s="116"/>
      <c r="AD3836" s="116"/>
      <c r="AE3836" s="116"/>
      <c r="AF3836" s="116"/>
      <c r="AG3836" s="116"/>
      <c r="AH3836" s="116"/>
      <c r="AI3836" s="116"/>
    </row>
    <row r="3837" spans="27:35" ht="18">
      <c r="AA3837" s="116"/>
      <c r="AB3837" s="87"/>
      <c r="AC3837" s="116"/>
      <c r="AD3837" s="116"/>
      <c r="AE3837" s="116"/>
      <c r="AF3837" s="116"/>
      <c r="AG3837" s="116"/>
      <c r="AH3837" s="116"/>
      <c r="AI3837" s="116"/>
    </row>
    <row r="3838" spans="27:35" ht="18">
      <c r="AA3838" s="116"/>
      <c r="AB3838" s="87"/>
      <c r="AC3838" s="116"/>
      <c r="AD3838" s="116"/>
      <c r="AE3838" s="116"/>
      <c r="AF3838" s="116"/>
      <c r="AG3838" s="116"/>
      <c r="AH3838" s="116"/>
      <c r="AI3838" s="116"/>
    </row>
    <row r="3839" spans="27:35" ht="18">
      <c r="AA3839" s="116"/>
      <c r="AB3839" s="87"/>
      <c r="AC3839" s="116"/>
      <c r="AD3839" s="116"/>
      <c r="AE3839" s="116"/>
      <c r="AF3839" s="116"/>
      <c r="AG3839" s="116"/>
      <c r="AH3839" s="116"/>
      <c r="AI3839" s="116"/>
    </row>
    <row r="3840" spans="27:35" ht="18">
      <c r="AA3840" s="116"/>
      <c r="AB3840" s="184"/>
      <c r="AC3840" s="116"/>
      <c r="AD3840" s="116"/>
      <c r="AE3840" s="116"/>
      <c r="AF3840" s="116"/>
      <c r="AG3840" s="116"/>
      <c r="AH3840" s="116"/>
      <c r="AI3840" s="116"/>
    </row>
    <row r="3841" spans="27:35" ht="18">
      <c r="AA3841" s="116"/>
      <c r="AB3841" s="184"/>
      <c r="AC3841" s="116"/>
      <c r="AD3841" s="116"/>
      <c r="AE3841" s="116"/>
      <c r="AF3841" s="116"/>
      <c r="AG3841" s="116"/>
      <c r="AH3841" s="116"/>
      <c r="AI3841" s="116"/>
    </row>
    <row r="3842" spans="27:35" ht="18">
      <c r="AA3842" s="116"/>
      <c r="AB3842" s="184"/>
      <c r="AC3842" s="116"/>
      <c r="AD3842" s="116"/>
      <c r="AE3842" s="116"/>
      <c r="AF3842" s="116"/>
      <c r="AG3842" s="116"/>
      <c r="AH3842" s="116"/>
      <c r="AI3842" s="116"/>
    </row>
    <row r="3843" spans="27:35" ht="18">
      <c r="AA3843" s="116"/>
      <c r="AB3843" s="87"/>
      <c r="AC3843" s="116"/>
      <c r="AD3843" s="116"/>
      <c r="AE3843" s="116"/>
      <c r="AF3843" s="116"/>
      <c r="AG3843" s="116"/>
      <c r="AH3843" s="116"/>
      <c r="AI3843" s="116"/>
    </row>
    <row r="3844" spans="27:35" ht="18">
      <c r="AA3844" s="116"/>
      <c r="AB3844" s="87"/>
      <c r="AC3844" s="116"/>
      <c r="AD3844" s="116"/>
      <c r="AE3844" s="116"/>
      <c r="AF3844" s="116"/>
      <c r="AG3844" s="116"/>
      <c r="AH3844" s="116"/>
      <c r="AI3844" s="116"/>
    </row>
    <row r="3845" spans="27:35" ht="18">
      <c r="AA3845" s="116"/>
      <c r="AB3845" s="87"/>
      <c r="AC3845" s="116"/>
      <c r="AD3845" s="116"/>
      <c r="AE3845" s="116"/>
      <c r="AF3845" s="116"/>
      <c r="AG3845" s="116"/>
      <c r="AH3845" s="116"/>
      <c r="AI3845" s="116"/>
    </row>
    <row r="3846" spans="27:35" ht="18">
      <c r="AA3846" s="116"/>
      <c r="AB3846" s="87"/>
      <c r="AC3846" s="116"/>
      <c r="AD3846" s="116"/>
      <c r="AE3846" s="116"/>
      <c r="AF3846" s="116"/>
      <c r="AG3846" s="116"/>
      <c r="AH3846" s="116"/>
      <c r="AI3846" s="116"/>
    </row>
    <row r="3847" spans="27:35" ht="18">
      <c r="AA3847" s="116"/>
      <c r="AB3847" s="184"/>
      <c r="AC3847" s="116"/>
      <c r="AD3847" s="116"/>
      <c r="AE3847" s="116"/>
      <c r="AF3847" s="116"/>
      <c r="AG3847" s="116"/>
      <c r="AH3847" s="116"/>
      <c r="AI3847" s="116"/>
    </row>
    <row r="3848" spans="27:35" ht="18">
      <c r="AA3848" s="116"/>
      <c r="AB3848" s="184"/>
      <c r="AC3848" s="116"/>
      <c r="AD3848" s="116"/>
      <c r="AE3848" s="116"/>
      <c r="AF3848" s="116"/>
      <c r="AG3848" s="116"/>
      <c r="AH3848" s="116"/>
      <c r="AI3848" s="116"/>
    </row>
    <row r="3849" spans="27:35" ht="18">
      <c r="AA3849" s="116"/>
      <c r="AB3849" s="87"/>
      <c r="AC3849" s="116"/>
      <c r="AD3849" s="116"/>
      <c r="AE3849" s="116"/>
      <c r="AF3849" s="116"/>
      <c r="AG3849" s="116"/>
      <c r="AH3849" s="116"/>
      <c r="AI3849" s="116"/>
    </row>
    <row r="3850" spans="27:35" ht="18">
      <c r="AA3850" s="116"/>
      <c r="AB3850" s="87"/>
      <c r="AC3850" s="116"/>
      <c r="AD3850" s="116"/>
      <c r="AE3850" s="116"/>
      <c r="AF3850" s="116"/>
      <c r="AG3850" s="116"/>
      <c r="AH3850" s="116"/>
      <c r="AI3850" s="116"/>
    </row>
    <row r="3851" spans="27:35" ht="18">
      <c r="AA3851" s="116"/>
      <c r="AB3851" s="87"/>
      <c r="AC3851" s="116"/>
      <c r="AD3851" s="116"/>
      <c r="AE3851" s="116"/>
      <c r="AF3851" s="116"/>
      <c r="AG3851" s="116"/>
      <c r="AH3851" s="116"/>
      <c r="AI3851" s="116"/>
    </row>
    <row r="3852" spans="27:35" ht="18">
      <c r="AA3852" s="116"/>
      <c r="AB3852" s="87"/>
      <c r="AC3852" s="116"/>
      <c r="AD3852" s="116"/>
      <c r="AE3852" s="116"/>
      <c r="AF3852" s="116"/>
      <c r="AG3852" s="116"/>
      <c r="AH3852" s="116"/>
      <c r="AI3852" s="116"/>
    </row>
    <row r="3853" spans="27:35" ht="18">
      <c r="AA3853" s="116"/>
      <c r="AB3853" s="87"/>
      <c r="AC3853" s="116"/>
      <c r="AD3853" s="116"/>
      <c r="AE3853" s="116"/>
      <c r="AF3853" s="116"/>
      <c r="AG3853" s="116"/>
      <c r="AH3853" s="116"/>
      <c r="AI3853" s="116"/>
    </row>
    <row r="3854" spans="27:35" ht="18">
      <c r="AA3854" s="116"/>
      <c r="AB3854" s="87"/>
      <c r="AC3854" s="116"/>
      <c r="AD3854" s="116"/>
      <c r="AE3854" s="116"/>
      <c r="AF3854" s="116"/>
      <c r="AG3854" s="116"/>
      <c r="AH3854" s="116"/>
      <c r="AI3854" s="116"/>
    </row>
    <row r="3855" spans="27:35" ht="18">
      <c r="AA3855" s="116"/>
      <c r="AB3855" s="87"/>
      <c r="AC3855" s="116"/>
      <c r="AD3855" s="116"/>
      <c r="AE3855" s="116"/>
      <c r="AF3855" s="116"/>
      <c r="AG3855" s="116"/>
      <c r="AH3855" s="116"/>
      <c r="AI3855" s="116"/>
    </row>
    <row r="3856" spans="27:35" ht="18">
      <c r="AA3856" s="116"/>
      <c r="AB3856" s="87"/>
      <c r="AC3856" s="116"/>
      <c r="AD3856" s="116"/>
      <c r="AE3856" s="116"/>
      <c r="AF3856" s="116"/>
      <c r="AG3856" s="116"/>
      <c r="AH3856" s="116"/>
      <c r="AI3856" s="116"/>
    </row>
    <row r="3857" spans="27:35" ht="18">
      <c r="AA3857" s="116"/>
      <c r="AB3857" s="87"/>
      <c r="AC3857" s="116"/>
      <c r="AD3857" s="116"/>
      <c r="AE3857" s="116"/>
      <c r="AF3857" s="116"/>
      <c r="AG3857" s="116"/>
      <c r="AH3857" s="116"/>
      <c r="AI3857" s="116"/>
    </row>
    <row r="3858" spans="27:35" ht="18">
      <c r="AA3858" s="116"/>
      <c r="AB3858" s="87"/>
      <c r="AC3858" s="116"/>
      <c r="AD3858" s="116"/>
      <c r="AE3858" s="116"/>
      <c r="AF3858" s="116"/>
      <c r="AG3858" s="116"/>
      <c r="AH3858" s="116"/>
      <c r="AI3858" s="116"/>
    </row>
    <row r="3859" spans="27:35" ht="18">
      <c r="AA3859" s="116"/>
      <c r="AB3859" s="87"/>
      <c r="AC3859" s="116"/>
      <c r="AD3859" s="116"/>
      <c r="AE3859" s="116"/>
      <c r="AF3859" s="116"/>
      <c r="AG3859" s="116"/>
      <c r="AH3859" s="116"/>
      <c r="AI3859" s="116"/>
    </row>
    <row r="3860" spans="27:35" ht="18">
      <c r="AA3860" s="116"/>
      <c r="AB3860" s="87"/>
      <c r="AC3860" s="116"/>
      <c r="AD3860" s="116"/>
      <c r="AE3860" s="116"/>
      <c r="AF3860" s="116"/>
      <c r="AG3860" s="116"/>
      <c r="AH3860" s="116"/>
      <c r="AI3860" s="116"/>
    </row>
    <row r="3861" spans="27:35" ht="18">
      <c r="AA3861" s="116"/>
      <c r="AB3861" s="87"/>
      <c r="AC3861" s="116"/>
      <c r="AD3861" s="116"/>
      <c r="AE3861" s="116"/>
      <c r="AF3861" s="116"/>
      <c r="AG3861" s="116"/>
      <c r="AH3861" s="116"/>
      <c r="AI3861" s="116"/>
    </row>
    <row r="3862" spans="27:35" ht="18">
      <c r="AA3862" s="116"/>
      <c r="AB3862" s="87"/>
      <c r="AC3862" s="116"/>
      <c r="AD3862" s="116"/>
      <c r="AE3862" s="116"/>
      <c r="AF3862" s="116"/>
      <c r="AG3862" s="116"/>
      <c r="AH3862" s="116"/>
      <c r="AI3862" s="116"/>
    </row>
    <row r="3863" spans="27:35" ht="18">
      <c r="AA3863" s="116"/>
      <c r="AB3863" s="87"/>
      <c r="AC3863" s="116"/>
      <c r="AD3863" s="116"/>
      <c r="AE3863" s="116"/>
      <c r="AF3863" s="116"/>
      <c r="AG3863" s="116"/>
      <c r="AH3863" s="116"/>
      <c r="AI3863" s="116"/>
    </row>
    <row r="3864" spans="27:35" ht="18">
      <c r="AA3864" s="116"/>
      <c r="AB3864" s="87"/>
      <c r="AC3864" s="116"/>
      <c r="AD3864" s="116"/>
      <c r="AE3864" s="116"/>
      <c r="AF3864" s="116"/>
      <c r="AG3864" s="116"/>
      <c r="AH3864" s="116"/>
      <c r="AI3864" s="116"/>
    </row>
    <row r="3865" spans="27:35" ht="18">
      <c r="AA3865" s="116"/>
      <c r="AB3865" s="87"/>
      <c r="AC3865" s="116"/>
      <c r="AD3865" s="116"/>
      <c r="AE3865" s="116"/>
      <c r="AF3865" s="116"/>
      <c r="AG3865" s="116"/>
      <c r="AH3865" s="116"/>
      <c r="AI3865" s="116"/>
    </row>
    <row r="3866" spans="27:35" ht="18">
      <c r="AA3866" s="116"/>
      <c r="AB3866" s="87"/>
      <c r="AC3866" s="116"/>
      <c r="AD3866" s="116"/>
      <c r="AE3866" s="116"/>
      <c r="AF3866" s="116"/>
      <c r="AG3866" s="116"/>
      <c r="AH3866" s="116"/>
      <c r="AI3866" s="116"/>
    </row>
    <row r="3867" spans="27:35" ht="18">
      <c r="AA3867" s="116"/>
      <c r="AB3867" s="87"/>
      <c r="AC3867" s="116"/>
      <c r="AD3867" s="116"/>
      <c r="AE3867" s="116"/>
      <c r="AF3867" s="116"/>
      <c r="AG3867" s="116"/>
      <c r="AH3867" s="116"/>
      <c r="AI3867" s="116"/>
    </row>
    <row r="3868" spans="27:35" ht="18">
      <c r="AA3868" s="116"/>
      <c r="AB3868" s="87"/>
      <c r="AC3868" s="116"/>
      <c r="AD3868" s="116"/>
      <c r="AE3868" s="116"/>
      <c r="AF3868" s="116"/>
      <c r="AG3868" s="116"/>
      <c r="AH3868" s="116"/>
      <c r="AI3868" s="116"/>
    </row>
    <row r="3869" spans="27:35" ht="18">
      <c r="AA3869" s="116"/>
      <c r="AB3869" s="87"/>
      <c r="AC3869" s="116"/>
      <c r="AD3869" s="116"/>
      <c r="AE3869" s="116"/>
      <c r="AF3869" s="116"/>
      <c r="AG3869" s="116"/>
      <c r="AH3869" s="116"/>
      <c r="AI3869" s="116"/>
    </row>
    <row r="3870" spans="27:35" ht="18">
      <c r="AA3870" s="116"/>
      <c r="AB3870" s="184"/>
      <c r="AC3870" s="116"/>
      <c r="AD3870" s="116"/>
      <c r="AE3870" s="116"/>
      <c r="AF3870" s="116"/>
      <c r="AG3870" s="116"/>
      <c r="AH3870" s="116"/>
      <c r="AI3870" s="116"/>
    </row>
    <row r="3871" spans="27:35" ht="18">
      <c r="AA3871" s="116"/>
      <c r="AB3871" s="184"/>
      <c r="AC3871" s="116"/>
      <c r="AD3871" s="116"/>
      <c r="AE3871" s="116"/>
      <c r="AF3871" s="116"/>
      <c r="AG3871" s="116"/>
      <c r="AH3871" s="116"/>
      <c r="AI3871" s="116"/>
    </row>
    <row r="3872" spans="27:35" ht="18">
      <c r="AA3872" s="116"/>
      <c r="AB3872" s="87"/>
      <c r="AC3872" s="116"/>
      <c r="AD3872" s="116"/>
      <c r="AE3872" s="116"/>
      <c r="AF3872" s="116"/>
      <c r="AG3872" s="116"/>
      <c r="AH3872" s="116"/>
      <c r="AI3872" s="116"/>
    </row>
    <row r="3873" spans="27:35" ht="18">
      <c r="AA3873" s="116"/>
      <c r="AB3873" s="87"/>
      <c r="AC3873" s="116"/>
      <c r="AD3873" s="116"/>
      <c r="AE3873" s="116"/>
      <c r="AF3873" s="116"/>
      <c r="AG3873" s="116"/>
      <c r="AH3873" s="116"/>
      <c r="AI3873" s="116"/>
    </row>
    <row r="3874" spans="27:35" ht="18">
      <c r="AA3874" s="116"/>
      <c r="AB3874" s="87"/>
      <c r="AC3874" s="116"/>
      <c r="AD3874" s="116"/>
      <c r="AE3874" s="116"/>
      <c r="AF3874" s="116"/>
      <c r="AG3874" s="116"/>
      <c r="AH3874" s="116"/>
      <c r="AI3874" s="116"/>
    </row>
    <row r="3875" spans="27:35" ht="18">
      <c r="AA3875" s="116"/>
      <c r="AB3875" s="87"/>
      <c r="AC3875" s="116"/>
      <c r="AD3875" s="116"/>
      <c r="AE3875" s="116"/>
      <c r="AF3875" s="116"/>
      <c r="AG3875" s="116"/>
      <c r="AH3875" s="116"/>
      <c r="AI3875" s="116"/>
    </row>
    <row r="3876" spans="27:35" ht="18">
      <c r="AA3876" s="116"/>
      <c r="AB3876" s="87"/>
      <c r="AC3876" s="116"/>
      <c r="AD3876" s="116"/>
      <c r="AE3876" s="116"/>
      <c r="AF3876" s="116"/>
      <c r="AG3876" s="116"/>
      <c r="AH3876" s="116"/>
      <c r="AI3876" s="116"/>
    </row>
    <row r="3877" spans="27:35" ht="18">
      <c r="AA3877" s="116"/>
      <c r="AB3877" s="87"/>
      <c r="AC3877" s="116"/>
      <c r="AD3877" s="116"/>
      <c r="AE3877" s="116"/>
      <c r="AF3877" s="116"/>
      <c r="AG3877" s="116"/>
      <c r="AH3877" s="116"/>
      <c r="AI3877" s="116"/>
    </row>
    <row r="3878" spans="27:35" ht="18">
      <c r="AA3878" s="116"/>
      <c r="AB3878" s="87"/>
      <c r="AC3878" s="116"/>
      <c r="AD3878" s="116"/>
      <c r="AE3878" s="116"/>
      <c r="AF3878" s="116"/>
      <c r="AG3878" s="116"/>
      <c r="AH3878" s="116"/>
      <c r="AI3878" s="116"/>
    </row>
    <row r="3879" spans="27:35" ht="18">
      <c r="AA3879" s="116"/>
      <c r="AB3879" s="87"/>
      <c r="AC3879" s="116"/>
      <c r="AD3879" s="116"/>
      <c r="AE3879" s="116"/>
      <c r="AF3879" s="116"/>
      <c r="AG3879" s="116"/>
      <c r="AH3879" s="116"/>
      <c r="AI3879" s="116"/>
    </row>
    <row r="3880" spans="27:35" ht="18">
      <c r="AA3880" s="116"/>
      <c r="AB3880" s="87"/>
      <c r="AC3880" s="116"/>
      <c r="AD3880" s="116"/>
      <c r="AE3880" s="116"/>
      <c r="AF3880" s="116"/>
      <c r="AG3880" s="116"/>
      <c r="AH3880" s="116"/>
      <c r="AI3880" s="116"/>
    </row>
    <row r="3881" spans="27:35" ht="18">
      <c r="AA3881" s="116"/>
      <c r="AB3881" s="87"/>
      <c r="AC3881" s="116"/>
      <c r="AD3881" s="116"/>
      <c r="AE3881" s="116"/>
      <c r="AF3881" s="116"/>
      <c r="AG3881" s="116"/>
      <c r="AH3881" s="116"/>
      <c r="AI3881" s="116"/>
    </row>
    <row r="3882" spans="27:35" ht="18">
      <c r="AA3882" s="116"/>
      <c r="AB3882" s="184"/>
      <c r="AC3882" s="116"/>
      <c r="AD3882" s="116"/>
      <c r="AE3882" s="116"/>
      <c r="AF3882" s="116"/>
      <c r="AG3882" s="116"/>
      <c r="AH3882" s="116"/>
      <c r="AI3882" s="116"/>
    </row>
    <row r="3883" spans="27:35" ht="18">
      <c r="AA3883" s="116"/>
      <c r="AB3883" s="87"/>
      <c r="AC3883" s="116"/>
      <c r="AD3883" s="116"/>
      <c r="AE3883" s="116"/>
      <c r="AF3883" s="116"/>
      <c r="AG3883" s="116"/>
      <c r="AH3883" s="116"/>
      <c r="AI3883" s="116"/>
    </row>
    <row r="3884" spans="27:35" ht="18">
      <c r="AA3884" s="116"/>
      <c r="AB3884" s="87"/>
      <c r="AC3884" s="116"/>
      <c r="AD3884" s="116"/>
      <c r="AE3884" s="116"/>
      <c r="AF3884" s="116"/>
      <c r="AG3884" s="116"/>
      <c r="AH3884" s="116"/>
      <c r="AI3884" s="116"/>
    </row>
    <row r="3885" spans="27:35" ht="18">
      <c r="AA3885" s="116"/>
      <c r="AB3885" s="87"/>
      <c r="AC3885" s="116"/>
      <c r="AD3885" s="116"/>
      <c r="AE3885" s="116"/>
      <c r="AF3885" s="116"/>
      <c r="AG3885" s="116"/>
      <c r="AH3885" s="116"/>
      <c r="AI3885" s="116"/>
    </row>
    <row r="3886" spans="27:35" ht="18">
      <c r="AA3886" s="116"/>
      <c r="AB3886" s="87"/>
      <c r="AC3886" s="116"/>
      <c r="AD3886" s="116"/>
      <c r="AE3886" s="116"/>
      <c r="AF3886" s="116"/>
      <c r="AG3886" s="116"/>
      <c r="AH3886" s="116"/>
      <c r="AI3886" s="116"/>
    </row>
    <row r="3887" spans="27:35" ht="18">
      <c r="AA3887" s="116"/>
      <c r="AB3887" s="87"/>
      <c r="AC3887" s="116"/>
      <c r="AD3887" s="116"/>
      <c r="AE3887" s="116"/>
      <c r="AF3887" s="116"/>
      <c r="AG3887" s="116"/>
      <c r="AH3887" s="116"/>
      <c r="AI3887" s="116"/>
    </row>
    <row r="3888" spans="27:35" ht="18">
      <c r="AA3888" s="116"/>
      <c r="AB3888" s="87"/>
      <c r="AC3888" s="116"/>
      <c r="AD3888" s="116"/>
      <c r="AE3888" s="116"/>
      <c r="AF3888" s="116"/>
      <c r="AG3888" s="116"/>
      <c r="AH3888" s="116"/>
      <c r="AI3888" s="116"/>
    </row>
    <row r="3889" spans="27:35" ht="18">
      <c r="AA3889" s="116"/>
      <c r="AB3889" s="87"/>
      <c r="AC3889" s="116"/>
      <c r="AD3889" s="116"/>
      <c r="AE3889" s="116"/>
      <c r="AF3889" s="116"/>
      <c r="AG3889" s="116"/>
      <c r="AH3889" s="116"/>
      <c r="AI3889" s="116"/>
    </row>
    <row r="3890" spans="27:35" ht="18">
      <c r="AA3890" s="116"/>
      <c r="AB3890" s="184"/>
      <c r="AC3890" s="116"/>
      <c r="AD3890" s="116"/>
      <c r="AE3890" s="116"/>
      <c r="AF3890" s="116"/>
      <c r="AG3890" s="116"/>
      <c r="AH3890" s="116"/>
      <c r="AI3890" s="116"/>
    </row>
    <row r="3891" spans="27:35" ht="18">
      <c r="AA3891" s="116"/>
      <c r="AB3891" s="87"/>
      <c r="AC3891" s="116"/>
      <c r="AD3891" s="116"/>
      <c r="AE3891" s="116"/>
      <c r="AF3891" s="116"/>
      <c r="AG3891" s="116"/>
      <c r="AH3891" s="116"/>
      <c r="AI3891" s="116"/>
    </row>
    <row r="3892" spans="27:35" ht="18">
      <c r="AA3892" s="116"/>
      <c r="AB3892" s="87"/>
      <c r="AC3892" s="116"/>
      <c r="AD3892" s="116"/>
      <c r="AE3892" s="116"/>
      <c r="AF3892" s="116"/>
      <c r="AG3892" s="116"/>
      <c r="AH3892" s="116"/>
      <c r="AI3892" s="116"/>
    </row>
    <row r="3893" spans="27:35" ht="18">
      <c r="AA3893" s="116"/>
      <c r="AB3893" s="87"/>
      <c r="AC3893" s="116"/>
      <c r="AD3893" s="116"/>
      <c r="AE3893" s="116"/>
      <c r="AF3893" s="116"/>
      <c r="AG3893" s="116"/>
      <c r="AH3893" s="116"/>
      <c r="AI3893" s="116"/>
    </row>
    <row r="3894" spans="27:35" ht="18">
      <c r="AA3894" s="116"/>
      <c r="AB3894" s="87"/>
      <c r="AC3894" s="116"/>
      <c r="AD3894" s="116"/>
      <c r="AE3894" s="116"/>
      <c r="AF3894" s="116"/>
      <c r="AG3894" s="116"/>
      <c r="AH3894" s="116"/>
      <c r="AI3894" s="116"/>
    </row>
    <row r="3895" spans="27:35" ht="18">
      <c r="AA3895" s="116"/>
      <c r="AB3895" s="184"/>
      <c r="AC3895" s="116"/>
      <c r="AD3895" s="116"/>
      <c r="AE3895" s="116"/>
      <c r="AF3895" s="116"/>
      <c r="AG3895" s="116"/>
      <c r="AH3895" s="116"/>
      <c r="AI3895" s="116"/>
    </row>
    <row r="3896" spans="27:35" ht="18">
      <c r="AA3896" s="116"/>
      <c r="AB3896" s="184"/>
      <c r="AC3896" s="116"/>
      <c r="AD3896" s="116"/>
      <c r="AE3896" s="116"/>
      <c r="AF3896" s="116"/>
      <c r="AG3896" s="116"/>
      <c r="AH3896" s="116"/>
      <c r="AI3896" s="116"/>
    </row>
    <row r="3897" spans="27:35" ht="18">
      <c r="AA3897" s="116"/>
      <c r="AB3897" s="87"/>
      <c r="AC3897" s="116"/>
      <c r="AD3897" s="116"/>
      <c r="AE3897" s="116"/>
      <c r="AF3897" s="116"/>
      <c r="AG3897" s="116"/>
      <c r="AH3897" s="116"/>
      <c r="AI3897" s="116"/>
    </row>
    <row r="3898" spans="27:35" ht="18">
      <c r="AA3898" s="116"/>
      <c r="AB3898" s="87"/>
      <c r="AC3898" s="116"/>
      <c r="AD3898" s="116"/>
      <c r="AE3898" s="116"/>
      <c r="AF3898" s="116"/>
      <c r="AG3898" s="116"/>
      <c r="AH3898" s="116"/>
      <c r="AI3898" s="116"/>
    </row>
    <row r="3899" spans="27:35" ht="18">
      <c r="AA3899" s="116"/>
      <c r="AB3899" s="87"/>
      <c r="AC3899" s="116"/>
      <c r="AD3899" s="116"/>
      <c r="AE3899" s="116"/>
      <c r="AF3899" s="116"/>
      <c r="AG3899" s="116"/>
      <c r="AH3899" s="116"/>
      <c r="AI3899" s="116"/>
    </row>
    <row r="3900" spans="27:35" ht="18">
      <c r="AA3900" s="116"/>
      <c r="AB3900" s="87"/>
      <c r="AC3900" s="116"/>
      <c r="AD3900" s="116"/>
      <c r="AE3900" s="116"/>
      <c r="AF3900" s="116"/>
      <c r="AG3900" s="116"/>
      <c r="AH3900" s="116"/>
      <c r="AI3900" s="116"/>
    </row>
    <row r="3901" spans="27:35" ht="18">
      <c r="AA3901" s="116"/>
      <c r="AB3901" s="87"/>
      <c r="AC3901" s="116"/>
      <c r="AD3901" s="116"/>
      <c r="AE3901" s="116"/>
      <c r="AF3901" s="116"/>
      <c r="AG3901" s="116"/>
      <c r="AH3901" s="116"/>
      <c r="AI3901" s="116"/>
    </row>
    <row r="3902" spans="27:35" ht="18">
      <c r="AA3902" s="116"/>
      <c r="AB3902" s="87"/>
      <c r="AC3902" s="116"/>
      <c r="AD3902" s="116"/>
      <c r="AE3902" s="116"/>
      <c r="AF3902" s="116"/>
      <c r="AG3902" s="116"/>
      <c r="AH3902" s="116"/>
      <c r="AI3902" s="116"/>
    </row>
    <row r="3903" spans="27:35" ht="18">
      <c r="AA3903" s="116"/>
      <c r="AB3903" s="87"/>
      <c r="AC3903" s="116"/>
      <c r="AD3903" s="116"/>
      <c r="AE3903" s="116"/>
      <c r="AF3903" s="116"/>
      <c r="AG3903" s="116"/>
      <c r="AH3903" s="116"/>
      <c r="AI3903" s="116"/>
    </row>
    <row r="3904" spans="27:35" ht="18">
      <c r="AA3904" s="116"/>
      <c r="AB3904" s="87"/>
      <c r="AC3904" s="116"/>
      <c r="AD3904" s="116"/>
      <c r="AE3904" s="116"/>
      <c r="AF3904" s="116"/>
      <c r="AG3904" s="116"/>
      <c r="AH3904" s="116"/>
      <c r="AI3904" s="116"/>
    </row>
    <row r="3905" spans="27:35" ht="18">
      <c r="AA3905" s="116"/>
      <c r="AB3905" s="87"/>
      <c r="AC3905" s="116"/>
      <c r="AD3905" s="116"/>
      <c r="AE3905" s="116"/>
      <c r="AF3905" s="116"/>
      <c r="AG3905" s="116"/>
      <c r="AH3905" s="116"/>
      <c r="AI3905" s="116"/>
    </row>
    <row r="3906" spans="27:35" ht="18">
      <c r="AA3906" s="116"/>
      <c r="AB3906" s="87"/>
      <c r="AC3906" s="116"/>
      <c r="AD3906" s="116"/>
      <c r="AE3906" s="116"/>
      <c r="AF3906" s="116"/>
      <c r="AG3906" s="116"/>
      <c r="AH3906" s="116"/>
      <c r="AI3906" s="116"/>
    </row>
    <row r="3907" spans="27:35" ht="18">
      <c r="AA3907" s="116"/>
      <c r="AB3907" s="87"/>
      <c r="AC3907" s="116"/>
      <c r="AD3907" s="116"/>
      <c r="AE3907" s="116"/>
      <c r="AF3907" s="116"/>
      <c r="AG3907" s="116"/>
      <c r="AH3907" s="116"/>
      <c r="AI3907" s="116"/>
    </row>
    <row r="3908" spans="27:35" ht="18">
      <c r="AA3908" s="116"/>
      <c r="AB3908" s="184"/>
      <c r="AC3908" s="116"/>
      <c r="AD3908" s="116"/>
      <c r="AE3908" s="116"/>
      <c r="AF3908" s="116"/>
      <c r="AG3908" s="116"/>
      <c r="AH3908" s="116"/>
      <c r="AI3908" s="116"/>
    </row>
    <row r="3909" spans="27:35" ht="18">
      <c r="AA3909" s="116"/>
      <c r="AB3909" s="184"/>
      <c r="AC3909" s="116"/>
      <c r="AD3909" s="116"/>
      <c r="AE3909" s="116"/>
      <c r="AF3909" s="116"/>
      <c r="AG3909" s="116"/>
      <c r="AH3909" s="116"/>
      <c r="AI3909" s="116"/>
    </row>
    <row r="3910" spans="27:35" ht="18">
      <c r="AA3910" s="116"/>
      <c r="AB3910" s="87"/>
      <c r="AC3910" s="116"/>
      <c r="AD3910" s="116"/>
      <c r="AE3910" s="116"/>
      <c r="AF3910" s="116"/>
      <c r="AG3910" s="116"/>
      <c r="AH3910" s="116"/>
      <c r="AI3910" s="116"/>
    </row>
    <row r="3911" spans="27:35" ht="18">
      <c r="AA3911" s="116"/>
      <c r="AB3911" s="87"/>
      <c r="AC3911" s="116"/>
      <c r="AD3911" s="116"/>
      <c r="AE3911" s="116"/>
      <c r="AF3911" s="116"/>
      <c r="AG3911" s="116"/>
      <c r="AH3911" s="116"/>
      <c r="AI3911" s="116"/>
    </row>
    <row r="3912" spans="27:35" ht="18">
      <c r="AA3912" s="116"/>
      <c r="AB3912" s="87"/>
      <c r="AC3912" s="116"/>
      <c r="AD3912" s="116"/>
      <c r="AE3912" s="116"/>
      <c r="AF3912" s="116"/>
      <c r="AG3912" s="116"/>
      <c r="AH3912" s="116"/>
      <c r="AI3912" s="116"/>
    </row>
    <row r="3913" spans="27:35" ht="18">
      <c r="AA3913" s="116"/>
      <c r="AB3913" s="87"/>
      <c r="AC3913" s="116"/>
      <c r="AD3913" s="116"/>
      <c r="AE3913" s="116"/>
      <c r="AF3913" s="116"/>
      <c r="AG3913" s="116"/>
      <c r="AH3913" s="116"/>
      <c r="AI3913" s="116"/>
    </row>
    <row r="3914" spans="27:35" ht="18">
      <c r="AA3914" s="116"/>
      <c r="AB3914" s="87"/>
      <c r="AC3914" s="116"/>
      <c r="AD3914" s="116"/>
      <c r="AE3914" s="116"/>
      <c r="AF3914" s="116"/>
      <c r="AG3914" s="116"/>
      <c r="AH3914" s="116"/>
      <c r="AI3914" s="116"/>
    </row>
    <row r="3915" spans="27:35" ht="18">
      <c r="AA3915" s="116"/>
      <c r="AB3915" s="87"/>
      <c r="AC3915" s="116"/>
      <c r="AD3915" s="116"/>
      <c r="AE3915" s="116"/>
      <c r="AF3915" s="116"/>
      <c r="AG3915" s="116"/>
      <c r="AH3915" s="116"/>
      <c r="AI3915" s="116"/>
    </row>
    <row r="3916" spans="27:35" ht="18">
      <c r="AA3916" s="116"/>
      <c r="AB3916" s="87"/>
      <c r="AC3916" s="116"/>
      <c r="AD3916" s="116"/>
      <c r="AE3916" s="116"/>
      <c r="AF3916" s="116"/>
      <c r="AG3916" s="116"/>
      <c r="AH3916" s="116"/>
      <c r="AI3916" s="116"/>
    </row>
    <row r="3917" spans="27:35" ht="18">
      <c r="AA3917" s="116"/>
      <c r="AB3917" s="184"/>
      <c r="AC3917" s="116"/>
      <c r="AD3917" s="116"/>
      <c r="AE3917" s="116"/>
      <c r="AF3917" s="116"/>
      <c r="AG3917" s="116"/>
      <c r="AH3917" s="116"/>
      <c r="AI3917" s="116"/>
    </row>
    <row r="3918" spans="27:35" ht="18">
      <c r="AA3918" s="116"/>
      <c r="AB3918" s="87"/>
      <c r="AC3918" s="116"/>
      <c r="AD3918" s="116"/>
      <c r="AE3918" s="116"/>
      <c r="AF3918" s="116"/>
      <c r="AG3918" s="116"/>
      <c r="AH3918" s="116"/>
      <c r="AI3918" s="116"/>
    </row>
    <row r="3919" spans="27:35" ht="18">
      <c r="AA3919" s="116"/>
      <c r="AB3919" s="87"/>
      <c r="AC3919" s="116"/>
      <c r="AD3919" s="116"/>
      <c r="AE3919" s="116"/>
      <c r="AF3919" s="116"/>
      <c r="AG3919" s="116"/>
      <c r="AH3919" s="116"/>
      <c r="AI3919" s="116"/>
    </row>
    <row r="3920" spans="27:35" ht="18">
      <c r="AA3920" s="116"/>
      <c r="AB3920" s="184"/>
      <c r="AC3920" s="116"/>
      <c r="AD3920" s="116"/>
      <c r="AE3920" s="116"/>
      <c r="AF3920" s="116"/>
      <c r="AG3920" s="116"/>
      <c r="AH3920" s="116"/>
      <c r="AI3920" s="116"/>
    </row>
    <row r="3921" spans="27:35" ht="18">
      <c r="AA3921" s="116"/>
      <c r="AB3921" s="87"/>
      <c r="AC3921" s="116"/>
      <c r="AD3921" s="116"/>
      <c r="AE3921" s="116"/>
      <c r="AF3921" s="116"/>
      <c r="AG3921" s="116"/>
      <c r="AH3921" s="116"/>
      <c r="AI3921" s="116"/>
    </row>
    <row r="3922" spans="27:35" ht="18">
      <c r="AA3922" s="116"/>
      <c r="AB3922" s="87"/>
      <c r="AC3922" s="116"/>
      <c r="AD3922" s="116"/>
      <c r="AE3922" s="116"/>
      <c r="AF3922" s="116"/>
      <c r="AG3922" s="116"/>
      <c r="AH3922" s="116"/>
      <c r="AI3922" s="116"/>
    </row>
    <row r="3923" spans="27:35" ht="18">
      <c r="AA3923" s="116"/>
      <c r="AB3923" s="184"/>
      <c r="AC3923" s="116"/>
      <c r="AD3923" s="116"/>
      <c r="AE3923" s="116"/>
      <c r="AF3923" s="116"/>
      <c r="AG3923" s="116"/>
      <c r="AH3923" s="116"/>
      <c r="AI3923" s="116"/>
    </row>
    <row r="3924" spans="27:35" ht="18">
      <c r="AA3924" s="116"/>
      <c r="AB3924" s="87"/>
      <c r="AC3924" s="116"/>
      <c r="AD3924" s="116"/>
      <c r="AE3924" s="116"/>
      <c r="AF3924" s="116"/>
      <c r="AG3924" s="116"/>
      <c r="AH3924" s="116"/>
      <c r="AI3924" s="116"/>
    </row>
    <row r="3925" spans="27:35" ht="18">
      <c r="AA3925" s="116"/>
      <c r="AB3925" s="87"/>
      <c r="AC3925" s="116"/>
      <c r="AD3925" s="116"/>
      <c r="AE3925" s="116"/>
      <c r="AF3925" s="116"/>
      <c r="AG3925" s="116"/>
      <c r="AH3925" s="116"/>
      <c r="AI3925" s="116"/>
    </row>
    <row r="3926" spans="27:35" ht="18">
      <c r="AA3926" s="116"/>
      <c r="AB3926" s="87"/>
      <c r="AC3926" s="116"/>
      <c r="AD3926" s="116"/>
      <c r="AE3926" s="116"/>
      <c r="AF3926" s="116"/>
      <c r="AG3926" s="116"/>
      <c r="AH3926" s="116"/>
      <c r="AI3926" s="116"/>
    </row>
    <row r="3927" spans="27:35" ht="18">
      <c r="AA3927" s="116"/>
      <c r="AB3927" s="87"/>
      <c r="AC3927" s="116"/>
      <c r="AD3927" s="116"/>
      <c r="AE3927" s="116"/>
      <c r="AF3927" s="116"/>
      <c r="AG3927" s="116"/>
      <c r="AH3927" s="116"/>
      <c r="AI3927" s="116"/>
    </row>
    <row r="3928" spans="27:35" ht="18">
      <c r="AA3928" s="116"/>
      <c r="AB3928" s="184"/>
      <c r="AC3928" s="116"/>
      <c r="AD3928" s="116"/>
      <c r="AE3928" s="116"/>
      <c r="AF3928" s="116"/>
      <c r="AG3928" s="116"/>
      <c r="AH3928" s="116"/>
      <c r="AI3928" s="116"/>
    </row>
    <row r="3929" spans="27:35" ht="18">
      <c r="AA3929" s="116"/>
      <c r="AB3929" s="184"/>
      <c r="AC3929" s="116"/>
      <c r="AD3929" s="116"/>
      <c r="AE3929" s="116"/>
      <c r="AF3929" s="116"/>
      <c r="AG3929" s="116"/>
      <c r="AH3929" s="116"/>
      <c r="AI3929" s="116"/>
    </row>
    <row r="3930" spans="27:35" ht="18">
      <c r="AA3930" s="116"/>
      <c r="AB3930" s="184"/>
      <c r="AC3930" s="116"/>
      <c r="AD3930" s="116"/>
      <c r="AE3930" s="116"/>
      <c r="AF3930" s="116"/>
      <c r="AG3930" s="116"/>
      <c r="AH3930" s="116"/>
      <c r="AI3930" s="116"/>
    </row>
    <row r="3931" spans="27:35" ht="18">
      <c r="AA3931" s="116"/>
      <c r="AB3931" s="87"/>
      <c r="AC3931" s="116"/>
      <c r="AD3931" s="116"/>
      <c r="AE3931" s="116"/>
      <c r="AF3931" s="116"/>
      <c r="AG3931" s="116"/>
      <c r="AH3931" s="116"/>
      <c r="AI3931" s="116"/>
    </row>
    <row r="3932" spans="27:35" ht="18">
      <c r="AA3932" s="116"/>
      <c r="AB3932" s="87"/>
      <c r="AC3932" s="116"/>
      <c r="AD3932" s="116"/>
      <c r="AE3932" s="116"/>
      <c r="AF3932" s="116"/>
      <c r="AG3932" s="116"/>
      <c r="AH3932" s="116"/>
      <c r="AI3932" s="116"/>
    </row>
    <row r="3933" spans="27:35" ht="18">
      <c r="AA3933" s="116"/>
      <c r="AB3933" s="184"/>
      <c r="AC3933" s="116"/>
      <c r="AD3933" s="116"/>
      <c r="AE3933" s="116"/>
      <c r="AF3933" s="116"/>
      <c r="AG3933" s="116"/>
      <c r="AH3933" s="116"/>
      <c r="AI3933" s="116"/>
    </row>
    <row r="3934" spans="27:35" ht="18">
      <c r="AA3934" s="116"/>
      <c r="AB3934" s="87"/>
      <c r="AC3934" s="116"/>
      <c r="AD3934" s="116"/>
      <c r="AE3934" s="116"/>
      <c r="AF3934" s="116"/>
      <c r="AG3934" s="116"/>
      <c r="AH3934" s="116"/>
      <c r="AI3934" s="116"/>
    </row>
    <row r="3935" spans="27:35" ht="18">
      <c r="AA3935" s="116"/>
      <c r="AB3935" s="87"/>
      <c r="AC3935" s="116"/>
      <c r="AD3935" s="116"/>
      <c r="AE3935" s="116"/>
      <c r="AF3935" s="116"/>
      <c r="AG3935" s="116"/>
      <c r="AH3935" s="116"/>
      <c r="AI3935" s="116"/>
    </row>
    <row r="3936" spans="27:35" ht="18">
      <c r="AA3936" s="116"/>
      <c r="AB3936" s="87"/>
      <c r="AC3936" s="116"/>
      <c r="AD3936" s="116"/>
      <c r="AE3936" s="116"/>
      <c r="AF3936" s="116"/>
      <c r="AG3936" s="116"/>
      <c r="AH3936" s="116"/>
      <c r="AI3936" s="116"/>
    </row>
    <row r="3937" spans="27:35" ht="18">
      <c r="AA3937" s="116"/>
      <c r="AB3937" s="184"/>
      <c r="AC3937" s="116"/>
      <c r="AD3937" s="116"/>
      <c r="AE3937" s="116"/>
      <c r="AF3937" s="116"/>
      <c r="AG3937" s="116"/>
      <c r="AH3937" s="116"/>
      <c r="AI3937" s="116"/>
    </row>
    <row r="3938" spans="27:35" ht="18">
      <c r="AA3938" s="116"/>
      <c r="AB3938" s="184"/>
      <c r="AC3938" s="116"/>
      <c r="AD3938" s="116"/>
      <c r="AE3938" s="116"/>
      <c r="AF3938" s="116"/>
      <c r="AG3938" s="116"/>
      <c r="AH3938" s="116"/>
      <c r="AI3938" s="116"/>
    </row>
    <row r="3939" spans="27:35" ht="18">
      <c r="AA3939" s="116"/>
      <c r="AB3939" s="184"/>
      <c r="AC3939" s="116"/>
      <c r="AD3939" s="116"/>
      <c r="AE3939" s="116"/>
      <c r="AF3939" s="116"/>
      <c r="AG3939" s="116"/>
      <c r="AH3939" s="116"/>
      <c r="AI3939" s="116"/>
    </row>
    <row r="3940" spans="27:35" ht="18">
      <c r="AA3940" s="116"/>
      <c r="AB3940" s="87"/>
      <c r="AC3940" s="116"/>
      <c r="AD3940" s="116"/>
      <c r="AE3940" s="116"/>
      <c r="AF3940" s="116"/>
      <c r="AG3940" s="116"/>
      <c r="AH3940" s="116"/>
      <c r="AI3940" s="116"/>
    </row>
    <row r="3941" spans="27:35" ht="18">
      <c r="AA3941" s="116"/>
      <c r="AB3941" s="87"/>
      <c r="AC3941" s="116"/>
      <c r="AD3941" s="116"/>
      <c r="AE3941" s="116"/>
      <c r="AF3941" s="116"/>
      <c r="AG3941" s="116"/>
      <c r="AH3941" s="116"/>
      <c r="AI3941" s="116"/>
    </row>
    <row r="3942" spans="27:35" ht="18">
      <c r="AA3942" s="116"/>
      <c r="AB3942" s="184"/>
      <c r="AC3942" s="116"/>
      <c r="AD3942" s="116"/>
      <c r="AE3942" s="116"/>
      <c r="AF3942" s="116"/>
      <c r="AG3942" s="116"/>
      <c r="AH3942" s="116"/>
      <c r="AI3942" s="116"/>
    </row>
    <row r="3943" spans="27:35" ht="18">
      <c r="AA3943" s="116"/>
      <c r="AB3943" s="87"/>
      <c r="AC3943" s="116"/>
      <c r="AD3943" s="116"/>
      <c r="AE3943" s="116"/>
      <c r="AF3943" s="116"/>
      <c r="AG3943" s="116"/>
      <c r="AH3943" s="116"/>
      <c r="AI3943" s="116"/>
    </row>
    <row r="3944" spans="27:35" ht="18">
      <c r="AA3944" s="116"/>
      <c r="AB3944" s="87"/>
      <c r="AC3944" s="116"/>
      <c r="AD3944" s="116"/>
      <c r="AE3944" s="116"/>
      <c r="AF3944" s="116"/>
      <c r="AG3944" s="116"/>
      <c r="AH3944" s="116"/>
      <c r="AI3944" s="116"/>
    </row>
    <row r="3945" spans="27:35" ht="18">
      <c r="AA3945" s="116"/>
      <c r="AB3945" s="184"/>
      <c r="AC3945" s="116"/>
      <c r="AD3945" s="116"/>
      <c r="AE3945" s="116"/>
      <c r="AF3945" s="116"/>
      <c r="AG3945" s="116"/>
      <c r="AH3945" s="116"/>
      <c r="AI3945" s="116"/>
    </row>
    <row r="3946" spans="27:35" ht="18">
      <c r="AA3946" s="116"/>
      <c r="AB3946" s="87"/>
      <c r="AC3946" s="116"/>
      <c r="AD3946" s="116"/>
      <c r="AE3946" s="116"/>
      <c r="AF3946" s="116"/>
      <c r="AG3946" s="116"/>
      <c r="AH3946" s="116"/>
      <c r="AI3946" s="116"/>
    </row>
    <row r="3947" spans="27:35" ht="18">
      <c r="AA3947" s="116"/>
      <c r="AB3947" s="87"/>
      <c r="AC3947" s="116"/>
      <c r="AD3947" s="116"/>
      <c r="AE3947" s="116"/>
      <c r="AF3947" s="116"/>
      <c r="AG3947" s="116"/>
      <c r="AH3947" s="116"/>
      <c r="AI3947" s="116"/>
    </row>
    <row r="3948" spans="27:35" ht="18">
      <c r="AA3948" s="116"/>
      <c r="AB3948" s="184"/>
      <c r="AC3948" s="116"/>
      <c r="AD3948" s="116"/>
      <c r="AE3948" s="116"/>
      <c r="AF3948" s="116"/>
      <c r="AG3948" s="116"/>
      <c r="AH3948" s="116"/>
      <c r="AI3948" s="116"/>
    </row>
    <row r="3949" spans="27:35" ht="18">
      <c r="AA3949" s="116"/>
      <c r="AB3949" s="87"/>
      <c r="AC3949" s="116"/>
      <c r="AD3949" s="116"/>
      <c r="AE3949" s="116"/>
      <c r="AF3949" s="116"/>
      <c r="AG3949" s="116"/>
      <c r="AH3949" s="116"/>
      <c r="AI3949" s="116"/>
    </row>
    <row r="3950" spans="27:35" ht="18">
      <c r="AA3950" s="116"/>
      <c r="AB3950" s="87"/>
      <c r="AC3950" s="116"/>
      <c r="AD3950" s="116"/>
      <c r="AE3950" s="116"/>
      <c r="AF3950" s="116"/>
      <c r="AG3950" s="116"/>
      <c r="AH3950" s="116"/>
      <c r="AI3950" s="116"/>
    </row>
    <row r="3951" spans="27:35" ht="18">
      <c r="AA3951" s="116"/>
      <c r="AB3951" s="184"/>
      <c r="AC3951" s="116"/>
      <c r="AD3951" s="116"/>
      <c r="AE3951" s="116"/>
      <c r="AF3951" s="116"/>
      <c r="AG3951" s="116"/>
      <c r="AH3951" s="116"/>
      <c r="AI3951" s="116"/>
    </row>
    <row r="3952" spans="27:35" ht="18">
      <c r="AA3952" s="116"/>
      <c r="AB3952" s="184"/>
      <c r="AC3952" s="116"/>
      <c r="AD3952" s="116"/>
      <c r="AE3952" s="116"/>
      <c r="AF3952" s="116"/>
      <c r="AG3952" s="116"/>
      <c r="AH3952" s="116"/>
      <c r="AI3952" s="116"/>
    </row>
    <row r="3953" spans="27:35" ht="18">
      <c r="AA3953" s="116"/>
      <c r="AB3953" s="87"/>
      <c r="AC3953" s="116"/>
      <c r="AD3953" s="116"/>
      <c r="AE3953" s="116"/>
      <c r="AF3953" s="116"/>
      <c r="AG3953" s="116"/>
      <c r="AH3953" s="116"/>
      <c r="AI3953" s="116"/>
    </row>
    <row r="3954" spans="27:35" ht="18">
      <c r="AA3954" s="116"/>
      <c r="AB3954" s="87"/>
      <c r="AC3954" s="116"/>
      <c r="AD3954" s="116"/>
      <c r="AE3954" s="116"/>
      <c r="AF3954" s="116"/>
      <c r="AG3954" s="116"/>
      <c r="AH3954" s="116"/>
      <c r="AI3954" s="116"/>
    </row>
    <row r="3955" spans="27:35" ht="18">
      <c r="AA3955" s="116"/>
      <c r="AB3955" s="184"/>
      <c r="AC3955" s="116"/>
      <c r="AD3955" s="116"/>
      <c r="AE3955" s="116"/>
      <c r="AF3955" s="116"/>
      <c r="AG3955" s="116"/>
      <c r="AH3955" s="116"/>
      <c r="AI3955" s="116"/>
    </row>
    <row r="3956" spans="27:35" ht="18">
      <c r="AA3956" s="116"/>
      <c r="AB3956" s="87"/>
      <c r="AC3956" s="116"/>
      <c r="AD3956" s="116"/>
      <c r="AE3956" s="116"/>
      <c r="AF3956" s="116"/>
      <c r="AG3956" s="116"/>
      <c r="AH3956" s="116"/>
      <c r="AI3956" s="116"/>
    </row>
    <row r="3957" spans="27:35" ht="18">
      <c r="AA3957" s="116"/>
      <c r="AB3957" s="87"/>
      <c r="AC3957" s="116"/>
      <c r="AD3957" s="116"/>
      <c r="AE3957" s="116"/>
      <c r="AF3957" s="116"/>
      <c r="AG3957" s="116"/>
      <c r="AH3957" s="116"/>
      <c r="AI3957" s="116"/>
    </row>
    <row r="3958" spans="27:35" ht="18">
      <c r="AA3958" s="116"/>
      <c r="AB3958" s="87"/>
      <c r="AC3958" s="116"/>
      <c r="AD3958" s="116"/>
      <c r="AE3958" s="116"/>
      <c r="AF3958" s="116"/>
      <c r="AG3958" s="116"/>
      <c r="AH3958" s="116"/>
      <c r="AI3958" s="116"/>
    </row>
    <row r="3959" spans="27:35" ht="18">
      <c r="AA3959" s="116"/>
      <c r="AB3959" s="87"/>
      <c r="AC3959" s="116"/>
      <c r="AD3959" s="116"/>
      <c r="AE3959" s="116"/>
      <c r="AF3959" s="116"/>
      <c r="AG3959" s="116"/>
      <c r="AH3959" s="116"/>
      <c r="AI3959" s="116"/>
    </row>
    <row r="3960" spans="27:35" ht="18">
      <c r="AA3960" s="116"/>
      <c r="AB3960" s="184"/>
      <c r="AC3960" s="116"/>
      <c r="AD3960" s="116"/>
      <c r="AE3960" s="116"/>
      <c r="AF3960" s="116"/>
      <c r="AG3960" s="116"/>
      <c r="AH3960" s="116"/>
      <c r="AI3960" s="116"/>
    </row>
    <row r="3961" spans="27:35" ht="18">
      <c r="AA3961" s="116"/>
      <c r="AB3961" s="184"/>
      <c r="AC3961" s="116"/>
      <c r="AD3961" s="116"/>
      <c r="AE3961" s="116"/>
      <c r="AF3961" s="116"/>
      <c r="AG3961" s="116"/>
      <c r="AH3961" s="116"/>
      <c r="AI3961" s="116"/>
    </row>
    <row r="3962" spans="27:35" ht="18">
      <c r="AA3962" s="116"/>
      <c r="AB3962" s="184"/>
      <c r="AC3962" s="116"/>
      <c r="AD3962" s="116"/>
      <c r="AE3962" s="116"/>
      <c r="AF3962" s="116"/>
      <c r="AG3962" s="116"/>
      <c r="AH3962" s="116"/>
      <c r="AI3962" s="116"/>
    </row>
    <row r="3963" spans="27:35" ht="18">
      <c r="AA3963" s="116"/>
      <c r="AB3963" s="87"/>
      <c r="AC3963" s="116"/>
      <c r="AD3963" s="116"/>
      <c r="AE3963" s="116"/>
      <c r="AF3963" s="116"/>
      <c r="AG3963" s="116"/>
      <c r="AH3963" s="116"/>
      <c r="AI3963" s="116"/>
    </row>
    <row r="3964" spans="27:35" ht="18">
      <c r="AA3964" s="116"/>
      <c r="AB3964" s="87"/>
      <c r="AC3964" s="116"/>
      <c r="AD3964" s="116"/>
      <c r="AE3964" s="116"/>
      <c r="AF3964" s="116"/>
      <c r="AG3964" s="116"/>
      <c r="AH3964" s="116"/>
      <c r="AI3964" s="116"/>
    </row>
    <row r="3965" spans="27:35" ht="18">
      <c r="AA3965" s="116"/>
      <c r="AB3965" s="87"/>
      <c r="AC3965" s="116"/>
      <c r="AD3965" s="116"/>
      <c r="AE3965" s="116"/>
      <c r="AF3965" s="116"/>
      <c r="AG3965" s="116"/>
      <c r="AH3965" s="116"/>
      <c r="AI3965" s="116"/>
    </row>
    <row r="3966" spans="27:35" ht="18">
      <c r="AA3966" s="116"/>
      <c r="AB3966" s="87"/>
      <c r="AC3966" s="116"/>
      <c r="AD3966" s="116"/>
      <c r="AE3966" s="116"/>
      <c r="AF3966" s="116"/>
      <c r="AG3966" s="116"/>
      <c r="AH3966" s="116"/>
      <c r="AI3966" s="116"/>
    </row>
    <row r="3967" spans="27:35" ht="18">
      <c r="AA3967" s="116"/>
      <c r="AB3967" s="184"/>
      <c r="AC3967" s="116"/>
      <c r="AD3967" s="116"/>
      <c r="AE3967" s="116"/>
      <c r="AF3967" s="116"/>
      <c r="AG3967" s="116"/>
      <c r="AH3967" s="116"/>
      <c r="AI3967" s="116"/>
    </row>
    <row r="3968" spans="27:35" ht="18">
      <c r="AA3968" s="116"/>
      <c r="AB3968" s="184"/>
      <c r="AC3968" s="116"/>
      <c r="AD3968" s="116"/>
      <c r="AE3968" s="116"/>
      <c r="AF3968" s="116"/>
      <c r="AG3968" s="116"/>
      <c r="AH3968" s="116"/>
      <c r="AI3968" s="116"/>
    </row>
    <row r="3969" spans="27:35" ht="18">
      <c r="AA3969" s="116"/>
      <c r="AB3969" s="184"/>
      <c r="AC3969" s="116"/>
      <c r="AD3969" s="116"/>
      <c r="AE3969" s="116"/>
      <c r="AF3969" s="116"/>
      <c r="AG3969" s="116"/>
      <c r="AH3969" s="116"/>
      <c r="AI3969" s="116"/>
    </row>
    <row r="3970" spans="27:35" ht="18">
      <c r="AA3970" s="116"/>
      <c r="AB3970" s="87"/>
      <c r="AC3970" s="116"/>
      <c r="AD3970" s="116"/>
      <c r="AE3970" s="116"/>
      <c r="AF3970" s="116"/>
      <c r="AG3970" s="116"/>
      <c r="AH3970" s="116"/>
      <c r="AI3970" s="116"/>
    </row>
    <row r="3971" spans="27:35" ht="18">
      <c r="AA3971" s="116"/>
      <c r="AB3971" s="87"/>
      <c r="AC3971" s="116"/>
      <c r="AD3971" s="116"/>
      <c r="AE3971" s="116"/>
      <c r="AF3971" s="116"/>
      <c r="AG3971" s="116"/>
      <c r="AH3971" s="116"/>
      <c r="AI3971" s="116"/>
    </row>
    <row r="3972" spans="27:35" ht="18">
      <c r="AA3972" s="116"/>
      <c r="AB3972" s="184"/>
      <c r="AC3972" s="116"/>
      <c r="AD3972" s="116"/>
      <c r="AE3972" s="116"/>
      <c r="AF3972" s="116"/>
      <c r="AG3972" s="116"/>
      <c r="AH3972" s="116"/>
      <c r="AI3972" s="116"/>
    </row>
    <row r="3973" spans="27:35" ht="18">
      <c r="AA3973" s="116"/>
      <c r="AB3973" s="87"/>
      <c r="AC3973" s="116"/>
      <c r="AD3973" s="116"/>
      <c r="AE3973" s="116"/>
      <c r="AF3973" s="116"/>
      <c r="AG3973" s="116"/>
      <c r="AH3973" s="116"/>
      <c r="AI3973" s="116"/>
    </row>
    <row r="3974" spans="27:35" ht="18">
      <c r="AA3974" s="116"/>
      <c r="AB3974" s="87"/>
      <c r="AC3974" s="116"/>
      <c r="AD3974" s="116"/>
      <c r="AE3974" s="116"/>
      <c r="AF3974" s="116"/>
      <c r="AG3974" s="116"/>
      <c r="AH3974" s="116"/>
      <c r="AI3974" s="116"/>
    </row>
    <row r="3975" spans="27:35" ht="18">
      <c r="AA3975" s="116"/>
      <c r="AB3975" s="184"/>
      <c r="AC3975" s="116"/>
      <c r="AD3975" s="116"/>
      <c r="AE3975" s="116"/>
      <c r="AF3975" s="116"/>
      <c r="AG3975" s="116"/>
      <c r="AH3975" s="116"/>
      <c r="AI3975" s="116"/>
    </row>
    <row r="3976" spans="27:35" ht="18">
      <c r="AA3976" s="116"/>
      <c r="AB3976" s="87"/>
      <c r="AC3976" s="116"/>
      <c r="AD3976" s="116"/>
      <c r="AE3976" s="116"/>
      <c r="AF3976" s="116"/>
      <c r="AG3976" s="116"/>
      <c r="AH3976" s="116"/>
      <c r="AI3976" s="116"/>
    </row>
    <row r="3977" spans="27:35" ht="18">
      <c r="AA3977" s="116"/>
      <c r="AB3977" s="87"/>
      <c r="AC3977" s="116"/>
      <c r="AD3977" s="116"/>
      <c r="AE3977" s="116"/>
      <c r="AF3977" s="116"/>
      <c r="AG3977" s="116"/>
      <c r="AH3977" s="116"/>
      <c r="AI3977" s="116"/>
    </row>
    <row r="3978" spans="27:35" ht="18">
      <c r="AA3978" s="116"/>
      <c r="AB3978" s="184"/>
      <c r="AC3978" s="116"/>
      <c r="AD3978" s="116"/>
      <c r="AE3978" s="116"/>
      <c r="AF3978" s="116"/>
      <c r="AG3978" s="116"/>
      <c r="AH3978" s="116"/>
      <c r="AI3978" s="116"/>
    </row>
    <row r="3979" spans="27:35" ht="18">
      <c r="AA3979" s="116"/>
      <c r="AB3979" s="87"/>
      <c r="AC3979" s="116"/>
      <c r="AD3979" s="116"/>
      <c r="AE3979" s="116"/>
      <c r="AF3979" s="116"/>
      <c r="AG3979" s="116"/>
      <c r="AH3979" s="116"/>
      <c r="AI3979" s="116"/>
    </row>
    <row r="3980" spans="27:35" ht="18">
      <c r="AA3980" s="116"/>
      <c r="AB3980" s="87"/>
      <c r="AC3980" s="116"/>
      <c r="AD3980" s="116"/>
      <c r="AE3980" s="116"/>
      <c r="AF3980" s="116"/>
      <c r="AG3980" s="116"/>
      <c r="AH3980" s="116"/>
      <c r="AI3980" s="116"/>
    </row>
    <row r="3981" spans="27:35" ht="18">
      <c r="AA3981" s="116"/>
      <c r="AB3981" s="87"/>
      <c r="AC3981" s="116"/>
      <c r="AD3981" s="116"/>
      <c r="AE3981" s="116"/>
      <c r="AF3981" s="116"/>
      <c r="AG3981" s="116"/>
      <c r="AH3981" s="116"/>
      <c r="AI3981" s="116"/>
    </row>
    <row r="3982" spans="27:35" ht="18">
      <c r="AA3982" s="116"/>
      <c r="AB3982" s="87"/>
      <c r="AC3982" s="116"/>
      <c r="AD3982" s="116"/>
      <c r="AE3982" s="116"/>
      <c r="AF3982" s="116"/>
      <c r="AG3982" s="116"/>
      <c r="AH3982" s="116"/>
      <c r="AI3982" s="116"/>
    </row>
    <row r="3983" spans="27:35" ht="18">
      <c r="AA3983" s="116"/>
      <c r="AB3983" s="184"/>
      <c r="AC3983" s="116"/>
      <c r="AD3983" s="116"/>
      <c r="AE3983" s="116"/>
      <c r="AF3983" s="116"/>
      <c r="AG3983" s="116"/>
      <c r="AH3983" s="116"/>
      <c r="AI3983" s="116"/>
    </row>
    <row r="3984" spans="27:35" ht="18">
      <c r="AA3984" s="116"/>
      <c r="AB3984" s="87"/>
      <c r="AC3984" s="116"/>
      <c r="AD3984" s="116"/>
      <c r="AE3984" s="116"/>
      <c r="AF3984" s="116"/>
      <c r="AG3984" s="116"/>
      <c r="AH3984" s="116"/>
      <c r="AI3984" s="116"/>
    </row>
    <row r="3985" spans="27:35" ht="18">
      <c r="AA3985" s="116"/>
      <c r="AB3985" s="87"/>
      <c r="AC3985" s="116"/>
      <c r="AD3985" s="116"/>
      <c r="AE3985" s="116"/>
      <c r="AF3985" s="116"/>
      <c r="AG3985" s="116"/>
      <c r="AH3985" s="116"/>
      <c r="AI3985" s="116"/>
    </row>
    <row r="3986" spans="27:35" ht="18">
      <c r="AA3986" s="116"/>
      <c r="AB3986" s="87"/>
      <c r="AC3986" s="116"/>
      <c r="AD3986" s="116"/>
      <c r="AE3986" s="116"/>
      <c r="AF3986" s="116"/>
      <c r="AG3986" s="116"/>
      <c r="AH3986" s="116"/>
      <c r="AI3986" s="116"/>
    </row>
    <row r="3987" spans="27:35" ht="18">
      <c r="AA3987" s="116"/>
      <c r="AB3987" s="87"/>
      <c r="AC3987" s="116"/>
      <c r="AD3987" s="116"/>
      <c r="AE3987" s="116"/>
      <c r="AF3987" s="116"/>
      <c r="AG3987" s="116"/>
      <c r="AH3987" s="116"/>
      <c r="AI3987" s="116"/>
    </row>
    <row r="3988" spans="27:35" ht="18">
      <c r="AA3988" s="116"/>
      <c r="AB3988" s="87"/>
      <c r="AC3988" s="116"/>
      <c r="AD3988" s="116"/>
      <c r="AE3988" s="116"/>
      <c r="AF3988" s="116"/>
      <c r="AG3988" s="116"/>
      <c r="AH3988" s="116"/>
      <c r="AI3988" s="116"/>
    </row>
    <row r="3989" spans="27:35" ht="18">
      <c r="AA3989" s="116"/>
      <c r="AB3989" s="184"/>
      <c r="AC3989" s="116"/>
      <c r="AD3989" s="116"/>
      <c r="AE3989" s="116"/>
      <c r="AF3989" s="116"/>
      <c r="AG3989" s="116"/>
      <c r="AH3989" s="116"/>
      <c r="AI3989" s="116"/>
    </row>
    <row r="3990" spans="27:35" ht="18">
      <c r="AA3990" s="116"/>
      <c r="AB3990" s="87"/>
      <c r="AC3990" s="116"/>
      <c r="AD3990" s="116"/>
      <c r="AE3990" s="116"/>
      <c r="AF3990" s="116"/>
      <c r="AG3990" s="116"/>
      <c r="AH3990" s="116"/>
      <c r="AI3990" s="116"/>
    </row>
    <row r="3991" spans="27:35" ht="18">
      <c r="AA3991" s="116"/>
      <c r="AB3991" s="87"/>
      <c r="AC3991" s="116"/>
      <c r="AD3991" s="116"/>
      <c r="AE3991" s="116"/>
      <c r="AF3991" s="116"/>
      <c r="AG3991" s="116"/>
      <c r="AH3991" s="116"/>
      <c r="AI3991" s="116"/>
    </row>
    <row r="3992" spans="27:35" ht="18">
      <c r="AA3992" s="116"/>
      <c r="AB3992" s="87"/>
      <c r="AC3992" s="116"/>
      <c r="AD3992" s="116"/>
      <c r="AE3992" s="116"/>
      <c r="AF3992" s="116"/>
      <c r="AG3992" s="116"/>
      <c r="AH3992" s="116"/>
      <c r="AI3992" s="116"/>
    </row>
    <row r="3993" spans="27:35" ht="18">
      <c r="AA3993" s="116"/>
      <c r="AB3993" s="184"/>
      <c r="AC3993" s="116"/>
      <c r="AD3993" s="116"/>
      <c r="AE3993" s="116"/>
      <c r="AF3993" s="116"/>
      <c r="AG3993" s="116"/>
      <c r="AH3993" s="116"/>
      <c r="AI3993" s="116"/>
    </row>
    <row r="3994" spans="27:35" ht="18">
      <c r="AA3994" s="116"/>
      <c r="AB3994" s="87"/>
      <c r="AC3994" s="116"/>
      <c r="AD3994" s="116"/>
      <c r="AE3994" s="116"/>
      <c r="AF3994" s="116"/>
      <c r="AG3994" s="116"/>
      <c r="AH3994" s="116"/>
      <c r="AI3994" s="116"/>
    </row>
    <row r="3995" spans="27:35" ht="18">
      <c r="AA3995" s="116"/>
      <c r="AB3995" s="87"/>
      <c r="AC3995" s="116"/>
      <c r="AD3995" s="116"/>
      <c r="AE3995" s="116"/>
      <c r="AF3995" s="116"/>
      <c r="AG3995" s="116"/>
      <c r="AH3995" s="116"/>
      <c r="AI3995" s="116"/>
    </row>
    <row r="3996" spans="27:35" ht="18">
      <c r="AA3996" s="116"/>
      <c r="AB3996" s="87"/>
      <c r="AC3996" s="116"/>
      <c r="AD3996" s="116"/>
      <c r="AE3996" s="116"/>
      <c r="AF3996" s="116"/>
      <c r="AG3996" s="116"/>
      <c r="AH3996" s="116"/>
      <c r="AI3996" s="116"/>
    </row>
    <row r="3997" spans="27:35" ht="18">
      <c r="AA3997" s="116"/>
      <c r="AB3997" s="87"/>
      <c r="AC3997" s="116"/>
      <c r="AD3997" s="116"/>
      <c r="AE3997" s="116"/>
      <c r="AF3997" s="116"/>
      <c r="AG3997" s="116"/>
      <c r="AH3997" s="116"/>
      <c r="AI3997" s="116"/>
    </row>
    <row r="3998" spans="27:35" ht="18">
      <c r="AA3998" s="116"/>
      <c r="AB3998" s="87"/>
      <c r="AC3998" s="116"/>
      <c r="AD3998" s="116"/>
      <c r="AE3998" s="116"/>
      <c r="AF3998" s="116"/>
      <c r="AG3998" s="116"/>
      <c r="AH3998" s="116"/>
      <c r="AI3998" s="116"/>
    </row>
    <row r="3999" spans="27:35" ht="18">
      <c r="AA3999" s="116"/>
      <c r="AB3999" s="184"/>
      <c r="AC3999" s="116"/>
      <c r="AD3999" s="116"/>
      <c r="AE3999" s="116"/>
      <c r="AF3999" s="116"/>
      <c r="AG3999" s="116"/>
      <c r="AH3999" s="116"/>
      <c r="AI3999" s="116"/>
    </row>
    <row r="4000" spans="27:35" ht="18">
      <c r="AA4000" s="116"/>
      <c r="AB4000" s="87"/>
      <c r="AC4000" s="116"/>
      <c r="AD4000" s="116"/>
      <c r="AE4000" s="116"/>
      <c r="AF4000" s="116"/>
      <c r="AG4000" s="116"/>
      <c r="AH4000" s="116"/>
      <c r="AI4000" s="116"/>
    </row>
    <row r="4001" spans="27:35" ht="18">
      <c r="AA4001" s="116"/>
      <c r="AB4001" s="87"/>
      <c r="AC4001" s="116"/>
      <c r="AD4001" s="116"/>
      <c r="AE4001" s="116"/>
      <c r="AF4001" s="116"/>
      <c r="AG4001" s="116"/>
      <c r="AH4001" s="116"/>
      <c r="AI4001" s="116"/>
    </row>
    <row r="4002" spans="27:35" ht="18">
      <c r="AA4002" s="116"/>
      <c r="AB4002" s="87"/>
      <c r="AC4002" s="116"/>
      <c r="AD4002" s="116"/>
      <c r="AE4002" s="116"/>
      <c r="AF4002" s="116"/>
      <c r="AG4002" s="116"/>
      <c r="AH4002" s="116"/>
      <c r="AI4002" s="116"/>
    </row>
    <row r="4003" spans="27:35" ht="18">
      <c r="AA4003" s="116"/>
      <c r="AB4003" s="87"/>
      <c r="AC4003" s="116"/>
      <c r="AD4003" s="116"/>
      <c r="AE4003" s="116"/>
      <c r="AF4003" s="116"/>
      <c r="AG4003" s="116"/>
      <c r="AH4003" s="116"/>
      <c r="AI4003" s="116"/>
    </row>
    <row r="4004" spans="27:35" ht="18">
      <c r="AA4004" s="116"/>
      <c r="AB4004" s="87"/>
      <c r="AC4004" s="116"/>
      <c r="AD4004" s="116"/>
      <c r="AE4004" s="116"/>
      <c r="AF4004" s="116"/>
      <c r="AG4004" s="116"/>
      <c r="AH4004" s="116"/>
      <c r="AI4004" s="116"/>
    </row>
    <row r="4005" spans="27:35" ht="18">
      <c r="AA4005" s="116"/>
      <c r="AB4005" s="184"/>
      <c r="AC4005" s="116"/>
      <c r="AD4005" s="116"/>
      <c r="AE4005" s="116"/>
      <c r="AF4005" s="116"/>
      <c r="AG4005" s="116"/>
      <c r="AH4005" s="116"/>
      <c r="AI4005" s="116"/>
    </row>
    <row r="4006" spans="27:35" ht="18">
      <c r="AA4006" s="116"/>
      <c r="AB4006" s="87"/>
      <c r="AC4006" s="116"/>
      <c r="AD4006" s="116"/>
      <c r="AE4006" s="116"/>
      <c r="AF4006" s="116"/>
      <c r="AG4006" s="116"/>
      <c r="AH4006" s="116"/>
      <c r="AI4006" s="116"/>
    </row>
    <row r="4007" spans="27:35" ht="18">
      <c r="AA4007" s="116"/>
      <c r="AB4007" s="87"/>
      <c r="AC4007" s="116"/>
      <c r="AD4007" s="116"/>
      <c r="AE4007" s="116"/>
      <c r="AF4007" s="116"/>
      <c r="AG4007" s="116"/>
      <c r="AH4007" s="116"/>
      <c r="AI4007" s="116"/>
    </row>
    <row r="4008" spans="27:35" ht="18">
      <c r="AA4008" s="116"/>
      <c r="AB4008" s="184"/>
      <c r="AC4008" s="116"/>
      <c r="AD4008" s="116"/>
      <c r="AE4008" s="116"/>
      <c r="AF4008" s="116"/>
      <c r="AG4008" s="116"/>
      <c r="AH4008" s="116"/>
      <c r="AI4008" s="116"/>
    </row>
    <row r="4009" spans="27:35" ht="18">
      <c r="AA4009" s="116"/>
      <c r="AB4009" s="87"/>
      <c r="AC4009" s="116"/>
      <c r="AD4009" s="116"/>
      <c r="AE4009" s="116"/>
      <c r="AF4009" s="116"/>
      <c r="AG4009" s="116"/>
      <c r="AH4009" s="116"/>
      <c r="AI4009" s="116"/>
    </row>
    <row r="4010" spans="27:35" ht="18">
      <c r="AA4010" s="116"/>
      <c r="AB4010" s="87"/>
      <c r="AC4010" s="116"/>
      <c r="AD4010" s="116"/>
      <c r="AE4010" s="116"/>
      <c r="AF4010" s="116"/>
      <c r="AG4010" s="116"/>
      <c r="AH4010" s="116"/>
      <c r="AI4010" s="116"/>
    </row>
    <row r="4011" spans="27:35" ht="18">
      <c r="AA4011" s="116"/>
      <c r="AB4011" s="184"/>
      <c r="AC4011" s="116"/>
      <c r="AD4011" s="116"/>
      <c r="AE4011" s="116"/>
      <c r="AF4011" s="116"/>
      <c r="AG4011" s="116"/>
      <c r="AH4011" s="116"/>
      <c r="AI4011" s="116"/>
    </row>
    <row r="4012" spans="27:35" ht="18">
      <c r="AA4012" s="116"/>
      <c r="AB4012" s="87"/>
      <c r="AC4012" s="116"/>
      <c r="AD4012" s="116"/>
      <c r="AE4012" s="116"/>
      <c r="AF4012" s="116"/>
      <c r="AG4012" s="116"/>
      <c r="AH4012" s="116"/>
      <c r="AI4012" s="116"/>
    </row>
    <row r="4013" spans="27:35" ht="18">
      <c r="AA4013" s="116"/>
      <c r="AB4013" s="87"/>
      <c r="AC4013" s="116"/>
      <c r="AD4013" s="116"/>
      <c r="AE4013" s="116"/>
      <c r="AF4013" s="116"/>
      <c r="AG4013" s="116"/>
      <c r="AH4013" s="116"/>
      <c r="AI4013" s="116"/>
    </row>
    <row r="4014" spans="27:35" ht="18">
      <c r="AA4014" s="116"/>
      <c r="AB4014" s="184"/>
      <c r="AC4014" s="116"/>
      <c r="AD4014" s="116"/>
      <c r="AE4014" s="116"/>
      <c r="AF4014" s="116"/>
      <c r="AG4014" s="116"/>
      <c r="AH4014" s="116"/>
      <c r="AI4014" s="116"/>
    </row>
    <row r="4015" spans="27:35" ht="18">
      <c r="AA4015" s="116"/>
      <c r="AB4015" s="87"/>
      <c r="AC4015" s="116"/>
      <c r="AD4015" s="116"/>
      <c r="AE4015" s="116"/>
      <c r="AF4015" s="116"/>
      <c r="AG4015" s="116"/>
      <c r="AH4015" s="116"/>
      <c r="AI4015" s="116"/>
    </row>
    <row r="4016" spans="27:35" ht="18">
      <c r="AA4016" s="116"/>
      <c r="AB4016" s="87"/>
      <c r="AC4016" s="116"/>
      <c r="AD4016" s="116"/>
      <c r="AE4016" s="116"/>
      <c r="AF4016" s="116"/>
      <c r="AG4016" s="116"/>
      <c r="AH4016" s="116"/>
      <c r="AI4016" s="116"/>
    </row>
    <row r="4017" spans="27:35" ht="18">
      <c r="AA4017" s="116"/>
      <c r="AB4017" s="87"/>
      <c r="AC4017" s="116"/>
      <c r="AD4017" s="116"/>
      <c r="AE4017" s="116"/>
      <c r="AF4017" s="116"/>
      <c r="AG4017" s="116"/>
      <c r="AH4017" s="116"/>
      <c r="AI4017" s="116"/>
    </row>
    <row r="4018" spans="27:35" ht="18">
      <c r="AA4018" s="116"/>
      <c r="AB4018" s="87"/>
      <c r="AC4018" s="116"/>
      <c r="AD4018" s="116"/>
      <c r="AE4018" s="116"/>
      <c r="AF4018" s="116"/>
      <c r="AG4018" s="116"/>
      <c r="AH4018" s="116"/>
      <c r="AI4018" s="116"/>
    </row>
    <row r="4019" spans="27:35" ht="18">
      <c r="AA4019" s="116"/>
      <c r="AB4019" s="87"/>
      <c r="AC4019" s="116"/>
      <c r="AD4019" s="116"/>
      <c r="AE4019" s="116"/>
      <c r="AF4019" s="116"/>
      <c r="AG4019" s="116"/>
      <c r="AH4019" s="116"/>
      <c r="AI4019" s="116"/>
    </row>
    <row r="4020" spans="27:35" ht="18">
      <c r="AA4020" s="116"/>
      <c r="AB4020" s="184"/>
      <c r="AC4020" s="116"/>
      <c r="AD4020" s="116"/>
      <c r="AE4020" s="116"/>
      <c r="AF4020" s="116"/>
      <c r="AG4020" s="116"/>
      <c r="AH4020" s="116"/>
      <c r="AI4020" s="116"/>
    </row>
    <row r="4021" spans="27:35" ht="18">
      <c r="AA4021" s="116"/>
      <c r="AB4021" s="87"/>
      <c r="AC4021" s="116"/>
      <c r="AD4021" s="116"/>
      <c r="AE4021" s="116"/>
      <c r="AF4021" s="116"/>
      <c r="AG4021" s="116"/>
      <c r="AH4021" s="116"/>
      <c r="AI4021" s="116"/>
    </row>
    <row r="4022" spans="27:35" ht="18">
      <c r="AA4022" s="116"/>
      <c r="AB4022" s="87"/>
      <c r="AC4022" s="116"/>
      <c r="AD4022" s="116"/>
      <c r="AE4022" s="116"/>
      <c r="AF4022" s="116"/>
      <c r="AG4022" s="116"/>
      <c r="AH4022" s="116"/>
      <c r="AI4022" s="116"/>
    </row>
    <row r="4023" spans="27:35" ht="18">
      <c r="AA4023" s="116"/>
      <c r="AB4023" s="184"/>
      <c r="AC4023" s="116"/>
      <c r="AD4023" s="116"/>
      <c r="AE4023" s="116"/>
      <c r="AF4023" s="116"/>
      <c r="AG4023" s="116"/>
      <c r="AH4023" s="116"/>
      <c r="AI4023" s="116"/>
    </row>
    <row r="4024" spans="27:35" ht="18">
      <c r="AA4024" s="116"/>
      <c r="AB4024" s="87"/>
      <c r="AC4024" s="116"/>
      <c r="AD4024" s="116"/>
      <c r="AE4024" s="116"/>
      <c r="AF4024" s="116"/>
      <c r="AG4024" s="116"/>
      <c r="AH4024" s="116"/>
      <c r="AI4024" s="116"/>
    </row>
    <row r="4025" spans="27:35" ht="18">
      <c r="AA4025" s="116"/>
      <c r="AB4025" s="87"/>
      <c r="AC4025" s="116"/>
      <c r="AD4025" s="116"/>
      <c r="AE4025" s="116"/>
      <c r="AF4025" s="116"/>
      <c r="AG4025" s="116"/>
      <c r="AH4025" s="116"/>
      <c r="AI4025" s="116"/>
    </row>
    <row r="4026" spans="27:35" ht="18">
      <c r="AA4026" s="116"/>
      <c r="AB4026" s="184"/>
      <c r="AC4026" s="116"/>
      <c r="AD4026" s="116"/>
      <c r="AE4026" s="116"/>
      <c r="AF4026" s="116"/>
      <c r="AG4026" s="116"/>
      <c r="AH4026" s="116"/>
      <c r="AI4026" s="116"/>
    </row>
    <row r="4027" spans="27:35" ht="18">
      <c r="AA4027" s="116"/>
      <c r="AB4027" s="87"/>
      <c r="AC4027" s="116"/>
      <c r="AD4027" s="116"/>
      <c r="AE4027" s="116"/>
      <c r="AF4027" s="116"/>
      <c r="AG4027" s="116"/>
      <c r="AH4027" s="116"/>
      <c r="AI4027" s="116"/>
    </row>
    <row r="4028" spans="27:35" ht="18">
      <c r="AA4028" s="116"/>
      <c r="AB4028" s="87"/>
      <c r="AC4028" s="116"/>
      <c r="AD4028" s="116"/>
      <c r="AE4028" s="116"/>
      <c r="AF4028" s="116"/>
      <c r="AG4028" s="116"/>
      <c r="AH4028" s="116"/>
      <c r="AI4028" s="116"/>
    </row>
    <row r="4029" spans="27:35" ht="18">
      <c r="AA4029" s="116"/>
      <c r="AB4029" s="184"/>
      <c r="AC4029" s="116"/>
      <c r="AD4029" s="116"/>
      <c r="AE4029" s="116"/>
      <c r="AF4029" s="116"/>
      <c r="AG4029" s="116"/>
      <c r="AH4029" s="116"/>
      <c r="AI4029" s="116"/>
    </row>
    <row r="4030" spans="27:35" ht="18">
      <c r="AA4030" s="116"/>
      <c r="AB4030" s="87"/>
      <c r="AC4030" s="116"/>
      <c r="AD4030" s="116"/>
      <c r="AE4030" s="116"/>
      <c r="AF4030" s="116"/>
      <c r="AG4030" s="116"/>
      <c r="AH4030" s="116"/>
      <c r="AI4030" s="116"/>
    </row>
    <row r="4031" spans="27:35" ht="18">
      <c r="AA4031" s="116"/>
      <c r="AB4031" s="87"/>
      <c r="AC4031" s="116"/>
      <c r="AD4031" s="116"/>
      <c r="AE4031" s="116"/>
      <c r="AF4031" s="116"/>
      <c r="AG4031" s="116"/>
      <c r="AH4031" s="116"/>
      <c r="AI4031" s="116"/>
    </row>
    <row r="4032" spans="27:35" ht="18">
      <c r="AA4032" s="116"/>
      <c r="AB4032" s="184"/>
      <c r="AC4032" s="116"/>
      <c r="AD4032" s="116"/>
      <c r="AE4032" s="116"/>
      <c r="AF4032" s="116"/>
      <c r="AG4032" s="116"/>
      <c r="AH4032" s="116"/>
      <c r="AI4032" s="116"/>
    </row>
    <row r="4033" spans="27:35" ht="18">
      <c r="AA4033" s="116"/>
      <c r="AB4033" s="87"/>
      <c r="AC4033" s="116"/>
      <c r="AD4033" s="116"/>
      <c r="AE4033" s="116"/>
      <c r="AF4033" s="116"/>
      <c r="AG4033" s="116"/>
      <c r="AH4033" s="116"/>
      <c r="AI4033" s="116"/>
    </row>
    <row r="4034" spans="27:35" ht="18">
      <c r="AA4034" s="116"/>
      <c r="AB4034" s="87"/>
      <c r="AC4034" s="116"/>
      <c r="AD4034" s="116"/>
      <c r="AE4034" s="116"/>
      <c r="AF4034" s="116"/>
      <c r="AG4034" s="116"/>
      <c r="AH4034" s="116"/>
      <c r="AI4034" s="116"/>
    </row>
    <row r="4035" spans="27:35" ht="18">
      <c r="AA4035" s="116"/>
      <c r="AB4035" s="184"/>
      <c r="AC4035" s="116"/>
      <c r="AD4035" s="116"/>
      <c r="AE4035" s="116"/>
      <c r="AF4035" s="116"/>
      <c r="AG4035" s="116"/>
      <c r="AH4035" s="116"/>
      <c r="AI4035" s="116"/>
    </row>
    <row r="4036" spans="27:35" ht="18">
      <c r="AA4036" s="116"/>
      <c r="AB4036" s="87"/>
      <c r="AC4036" s="116"/>
      <c r="AD4036" s="116"/>
      <c r="AE4036" s="116"/>
      <c r="AF4036" s="116"/>
      <c r="AG4036" s="116"/>
      <c r="AH4036" s="116"/>
      <c r="AI4036" s="116"/>
    </row>
    <row r="4037" spans="27:35" ht="18">
      <c r="AA4037" s="116"/>
      <c r="AB4037" s="87"/>
      <c r="AC4037" s="116"/>
      <c r="AD4037" s="116"/>
      <c r="AE4037" s="116"/>
      <c r="AF4037" s="116"/>
      <c r="AG4037" s="116"/>
      <c r="AH4037" s="116"/>
      <c r="AI4037" s="116"/>
    </row>
    <row r="4038" spans="27:35" ht="18">
      <c r="AA4038" s="116"/>
      <c r="AB4038" s="184"/>
      <c r="AC4038" s="116"/>
      <c r="AD4038" s="116"/>
      <c r="AE4038" s="116"/>
      <c r="AF4038" s="116"/>
      <c r="AG4038" s="116"/>
      <c r="AH4038" s="116"/>
      <c r="AI4038" s="116"/>
    </row>
    <row r="4039" spans="27:35" ht="18">
      <c r="AA4039" s="116"/>
      <c r="AB4039" s="87"/>
      <c r="AC4039" s="116"/>
      <c r="AD4039" s="116"/>
      <c r="AE4039" s="116"/>
      <c r="AF4039" s="116"/>
      <c r="AG4039" s="116"/>
      <c r="AH4039" s="116"/>
      <c r="AI4039" s="116"/>
    </row>
    <row r="4040" spans="27:35" ht="18">
      <c r="AA4040" s="116"/>
      <c r="AB4040" s="87"/>
      <c r="AC4040" s="116"/>
      <c r="AD4040" s="116"/>
      <c r="AE4040" s="116"/>
      <c r="AF4040" s="116"/>
      <c r="AG4040" s="116"/>
      <c r="AH4040" s="116"/>
      <c r="AI4040" s="116"/>
    </row>
    <row r="4041" spans="27:35" ht="18">
      <c r="AA4041" s="116"/>
      <c r="AB4041" s="87"/>
      <c r="AC4041" s="116"/>
      <c r="AD4041" s="116"/>
      <c r="AE4041" s="116"/>
      <c r="AF4041" s="116"/>
      <c r="AG4041" s="116"/>
      <c r="AH4041" s="116"/>
      <c r="AI4041" s="116"/>
    </row>
    <row r="4042" spans="27:35" ht="18">
      <c r="AA4042" s="116"/>
      <c r="AB4042" s="87"/>
      <c r="AC4042" s="116"/>
      <c r="AD4042" s="116"/>
      <c r="AE4042" s="116"/>
      <c r="AF4042" s="116"/>
      <c r="AG4042" s="116"/>
      <c r="AH4042" s="116"/>
      <c r="AI4042" s="116"/>
    </row>
    <row r="4043" spans="27:35" ht="18">
      <c r="AA4043" s="116"/>
      <c r="AB4043" s="87"/>
      <c r="AC4043" s="116"/>
      <c r="AD4043" s="116"/>
      <c r="AE4043" s="116"/>
      <c r="AF4043" s="116"/>
      <c r="AG4043" s="116"/>
      <c r="AH4043" s="116"/>
      <c r="AI4043" s="116"/>
    </row>
    <row r="4044" spans="27:35" ht="18">
      <c r="AA4044" s="116"/>
      <c r="AB4044" s="184"/>
      <c r="AC4044" s="116"/>
      <c r="AD4044" s="116"/>
      <c r="AE4044" s="116"/>
      <c r="AF4044" s="116"/>
      <c r="AG4044" s="116"/>
      <c r="AH4044" s="116"/>
      <c r="AI4044" s="116"/>
    </row>
    <row r="4045" spans="27:35" ht="18">
      <c r="AA4045" s="116"/>
      <c r="AB4045" s="87"/>
      <c r="AC4045" s="116"/>
      <c r="AD4045" s="116"/>
      <c r="AE4045" s="116"/>
      <c r="AF4045" s="116"/>
      <c r="AG4045" s="116"/>
      <c r="AH4045" s="116"/>
      <c r="AI4045" s="116"/>
    </row>
    <row r="4046" spans="27:35" ht="18">
      <c r="AA4046" s="116"/>
      <c r="AB4046" s="87"/>
      <c r="AC4046" s="116"/>
      <c r="AD4046" s="116"/>
      <c r="AE4046" s="116"/>
      <c r="AF4046" s="116"/>
      <c r="AG4046" s="116"/>
      <c r="AH4046" s="116"/>
      <c r="AI4046" s="116"/>
    </row>
    <row r="4047" spans="27:35" ht="18">
      <c r="AA4047" s="116"/>
      <c r="AB4047" s="184"/>
      <c r="AC4047" s="116"/>
      <c r="AD4047" s="116"/>
      <c r="AE4047" s="116"/>
      <c r="AF4047" s="116"/>
      <c r="AG4047" s="116"/>
      <c r="AH4047" s="116"/>
      <c r="AI4047" s="116"/>
    </row>
    <row r="4048" spans="27:35" ht="18">
      <c r="AA4048" s="116"/>
      <c r="AB4048" s="87"/>
      <c r="AC4048" s="116"/>
      <c r="AD4048" s="116"/>
      <c r="AE4048" s="116"/>
      <c r="AF4048" s="116"/>
      <c r="AG4048" s="116"/>
      <c r="AH4048" s="116"/>
      <c r="AI4048" s="116"/>
    </row>
    <row r="4049" spans="27:35" ht="18">
      <c r="AA4049" s="116"/>
      <c r="AB4049" s="87"/>
      <c r="AC4049" s="116"/>
      <c r="AD4049" s="116"/>
      <c r="AE4049" s="116"/>
      <c r="AF4049" s="116"/>
      <c r="AG4049" s="116"/>
      <c r="AH4049" s="116"/>
      <c r="AI4049" s="116"/>
    </row>
    <row r="4050" spans="27:35" ht="18">
      <c r="AA4050" s="116"/>
      <c r="AB4050" s="184"/>
      <c r="AC4050" s="116"/>
      <c r="AD4050" s="116"/>
      <c r="AE4050" s="116"/>
      <c r="AF4050" s="116"/>
      <c r="AG4050" s="116"/>
      <c r="AH4050" s="116"/>
      <c r="AI4050" s="116"/>
    </row>
    <row r="4051" spans="27:35" ht="18">
      <c r="AA4051" s="116"/>
      <c r="AB4051" s="87"/>
      <c r="AC4051" s="116"/>
      <c r="AD4051" s="116"/>
      <c r="AE4051" s="116"/>
      <c r="AF4051" s="116"/>
      <c r="AG4051" s="116"/>
      <c r="AH4051" s="116"/>
      <c r="AI4051" s="116"/>
    </row>
    <row r="4052" spans="27:35" ht="18">
      <c r="AA4052" s="116"/>
      <c r="AB4052" s="87"/>
      <c r="AC4052" s="116"/>
      <c r="AD4052" s="116"/>
      <c r="AE4052" s="116"/>
      <c r="AF4052" s="116"/>
      <c r="AG4052" s="116"/>
      <c r="AH4052" s="116"/>
      <c r="AI4052" s="116"/>
    </row>
    <row r="4053" spans="27:35" ht="18">
      <c r="AA4053" s="116"/>
      <c r="AB4053" s="184"/>
      <c r="AC4053" s="116"/>
      <c r="AD4053" s="116"/>
      <c r="AE4053" s="116"/>
      <c r="AF4053" s="116"/>
      <c r="AG4053" s="116"/>
      <c r="AH4053" s="116"/>
      <c r="AI4053" s="116"/>
    </row>
    <row r="4054" spans="27:35" ht="18">
      <c r="AA4054" s="116"/>
      <c r="AB4054" s="87"/>
      <c r="AC4054" s="116"/>
      <c r="AD4054" s="116"/>
      <c r="AE4054" s="116"/>
      <c r="AF4054" s="116"/>
      <c r="AG4054" s="116"/>
      <c r="AH4054" s="116"/>
      <c r="AI4054" s="116"/>
    </row>
    <row r="4055" spans="27:35" ht="18">
      <c r="AA4055" s="116"/>
      <c r="AB4055" s="87"/>
      <c r="AC4055" s="116"/>
      <c r="AD4055" s="116"/>
      <c r="AE4055" s="116"/>
      <c r="AF4055" s="116"/>
      <c r="AG4055" s="116"/>
      <c r="AH4055" s="116"/>
      <c r="AI4055" s="116"/>
    </row>
    <row r="4056" spans="27:35" ht="18">
      <c r="AA4056" s="116"/>
      <c r="AB4056" s="184"/>
      <c r="AC4056" s="116"/>
      <c r="AD4056" s="116"/>
      <c r="AE4056" s="116"/>
      <c r="AF4056" s="116"/>
      <c r="AG4056" s="116"/>
      <c r="AH4056" s="116"/>
      <c r="AI4056" s="116"/>
    </row>
    <row r="4057" spans="27:35" ht="18">
      <c r="AA4057" s="116"/>
      <c r="AB4057" s="87"/>
      <c r="AC4057" s="116"/>
      <c r="AD4057" s="116"/>
      <c r="AE4057" s="116"/>
      <c r="AF4057" s="116"/>
      <c r="AG4057" s="116"/>
      <c r="AH4057" s="116"/>
      <c r="AI4057" s="116"/>
    </row>
    <row r="4058" spans="27:35" ht="18">
      <c r="AA4058" s="116"/>
      <c r="AB4058" s="87"/>
      <c r="AC4058" s="116"/>
      <c r="AD4058" s="116"/>
      <c r="AE4058" s="116"/>
      <c r="AF4058" s="116"/>
      <c r="AG4058" s="116"/>
      <c r="AH4058" s="116"/>
      <c r="AI4058" s="116"/>
    </row>
    <row r="4059" spans="27:35" ht="18">
      <c r="AA4059" s="116"/>
      <c r="AB4059" s="184"/>
      <c r="AC4059" s="116"/>
      <c r="AD4059" s="116"/>
      <c r="AE4059" s="116"/>
      <c r="AF4059" s="116"/>
      <c r="AG4059" s="116"/>
      <c r="AH4059" s="116"/>
      <c r="AI4059" s="116"/>
    </row>
    <row r="4060" spans="27:35" ht="18">
      <c r="AA4060" s="116"/>
      <c r="AB4060" s="87"/>
      <c r="AC4060" s="116"/>
      <c r="AD4060" s="116"/>
      <c r="AE4060" s="116"/>
      <c r="AF4060" s="116"/>
      <c r="AG4060" s="116"/>
      <c r="AH4060" s="116"/>
      <c r="AI4060" s="116"/>
    </row>
    <row r="4061" spans="27:35" ht="18">
      <c r="AA4061" s="116"/>
      <c r="AB4061" s="87"/>
      <c r="AC4061" s="116"/>
      <c r="AD4061" s="116"/>
      <c r="AE4061" s="116"/>
      <c r="AF4061" s="116"/>
      <c r="AG4061" s="116"/>
      <c r="AH4061" s="116"/>
      <c r="AI4061" s="116"/>
    </row>
    <row r="4062" spans="27:35" ht="18">
      <c r="AA4062" s="116"/>
      <c r="AB4062" s="184"/>
      <c r="AC4062" s="116"/>
      <c r="AD4062" s="116"/>
      <c r="AE4062" s="116"/>
      <c r="AF4062" s="116"/>
      <c r="AG4062" s="116"/>
      <c r="AH4062" s="116"/>
      <c r="AI4062" s="116"/>
    </row>
    <row r="4063" spans="27:35" ht="18">
      <c r="AA4063" s="116"/>
      <c r="AB4063" s="87"/>
      <c r="AC4063" s="116"/>
      <c r="AD4063" s="116"/>
      <c r="AE4063" s="116"/>
      <c r="AF4063" s="116"/>
      <c r="AG4063" s="116"/>
      <c r="AH4063" s="116"/>
      <c r="AI4063" s="116"/>
    </row>
    <row r="4064" spans="27:35" ht="18">
      <c r="AA4064" s="116"/>
      <c r="AB4064" s="87"/>
      <c r="AC4064" s="116"/>
      <c r="AD4064" s="116"/>
      <c r="AE4064" s="116"/>
      <c r="AF4064" s="116"/>
      <c r="AG4064" s="116"/>
      <c r="AH4064" s="116"/>
      <c r="AI4064" s="116"/>
    </row>
    <row r="4065" spans="27:35" ht="18">
      <c r="AA4065" s="116"/>
      <c r="AB4065" s="184"/>
      <c r="AC4065" s="116"/>
      <c r="AD4065" s="116"/>
      <c r="AE4065" s="116"/>
      <c r="AF4065" s="116"/>
      <c r="AG4065" s="116"/>
      <c r="AH4065" s="116"/>
      <c r="AI4065" s="116"/>
    </row>
    <row r="4066" spans="27:35" ht="18">
      <c r="AA4066" s="116"/>
      <c r="AB4066" s="87"/>
      <c r="AC4066" s="116"/>
      <c r="AD4066" s="116"/>
      <c r="AE4066" s="116"/>
      <c r="AF4066" s="116"/>
      <c r="AG4066" s="116"/>
      <c r="AH4066" s="116"/>
      <c r="AI4066" s="116"/>
    </row>
    <row r="4067" spans="27:35" ht="18">
      <c r="AA4067" s="116"/>
      <c r="AB4067" s="87"/>
      <c r="AC4067" s="116"/>
      <c r="AD4067" s="116"/>
      <c r="AE4067" s="116"/>
      <c r="AF4067" s="116"/>
      <c r="AG4067" s="116"/>
      <c r="AH4067" s="116"/>
      <c r="AI4067" s="116"/>
    </row>
    <row r="4068" spans="27:35" ht="18">
      <c r="AA4068" s="116"/>
      <c r="AB4068" s="184"/>
      <c r="AC4068" s="116"/>
      <c r="AD4068" s="116"/>
      <c r="AE4068" s="116"/>
      <c r="AF4068" s="116"/>
      <c r="AG4068" s="116"/>
      <c r="AH4068" s="116"/>
      <c r="AI4068" s="116"/>
    </row>
    <row r="4069" spans="27:35" ht="18">
      <c r="AA4069" s="116"/>
      <c r="AB4069" s="87"/>
      <c r="AC4069" s="116"/>
      <c r="AD4069" s="116"/>
      <c r="AE4069" s="116"/>
      <c r="AF4069" s="116"/>
      <c r="AG4069" s="116"/>
      <c r="AH4069" s="116"/>
      <c r="AI4069" s="116"/>
    </row>
    <row r="4070" spans="27:35" ht="18">
      <c r="AA4070" s="116"/>
      <c r="AB4070" s="87"/>
      <c r="AC4070" s="116"/>
      <c r="AD4070" s="116"/>
      <c r="AE4070" s="116"/>
      <c r="AF4070" s="116"/>
      <c r="AG4070" s="116"/>
      <c r="AH4070" s="116"/>
      <c r="AI4070" s="116"/>
    </row>
    <row r="4071" spans="27:35" ht="18">
      <c r="AA4071" s="116"/>
      <c r="AB4071" s="184"/>
      <c r="AC4071" s="116"/>
      <c r="AD4071" s="116"/>
      <c r="AE4071" s="116"/>
      <c r="AF4071" s="116"/>
      <c r="AG4071" s="116"/>
      <c r="AH4071" s="116"/>
      <c r="AI4071" s="116"/>
    </row>
    <row r="4072" spans="27:35" ht="18">
      <c r="AA4072" s="116"/>
      <c r="AB4072" s="87"/>
      <c r="AC4072" s="116"/>
      <c r="AD4072" s="116"/>
      <c r="AE4072" s="116"/>
      <c r="AF4072" s="116"/>
      <c r="AG4072" s="116"/>
      <c r="AH4072" s="116"/>
      <c r="AI4072" s="116"/>
    </row>
    <row r="4073" spans="27:35" ht="18">
      <c r="AA4073" s="116"/>
      <c r="AB4073" s="87"/>
      <c r="AC4073" s="116"/>
      <c r="AD4073" s="116"/>
      <c r="AE4073" s="116"/>
      <c r="AF4073" s="116"/>
      <c r="AG4073" s="116"/>
      <c r="AH4073" s="116"/>
      <c r="AI4073" s="116"/>
    </row>
    <row r="4074" spans="27:35" ht="18">
      <c r="AA4074" s="116"/>
      <c r="AB4074" s="184"/>
      <c r="AC4074" s="116"/>
      <c r="AD4074" s="116"/>
      <c r="AE4074" s="116"/>
      <c r="AF4074" s="116"/>
      <c r="AG4074" s="116"/>
      <c r="AH4074" s="116"/>
      <c r="AI4074" s="116"/>
    </row>
    <row r="4075" spans="27:35" ht="18">
      <c r="AA4075" s="116"/>
      <c r="AB4075" s="87"/>
      <c r="AC4075" s="116"/>
      <c r="AD4075" s="116"/>
      <c r="AE4075" s="116"/>
      <c r="AF4075" s="116"/>
      <c r="AG4075" s="116"/>
      <c r="AH4075" s="116"/>
      <c r="AI4075" s="116"/>
    </row>
    <row r="4076" spans="27:35" ht="18">
      <c r="AA4076" s="116"/>
      <c r="AB4076" s="87"/>
      <c r="AC4076" s="116"/>
      <c r="AD4076" s="116"/>
      <c r="AE4076" s="116"/>
      <c r="AF4076" s="116"/>
      <c r="AG4076" s="116"/>
      <c r="AH4076" s="116"/>
      <c r="AI4076" s="116"/>
    </row>
    <row r="4077" spans="27:35" ht="18">
      <c r="AA4077" s="116"/>
      <c r="AB4077" s="184"/>
      <c r="AC4077" s="116"/>
      <c r="AD4077" s="116"/>
      <c r="AE4077" s="116"/>
      <c r="AF4077" s="116"/>
      <c r="AG4077" s="116"/>
      <c r="AH4077" s="116"/>
      <c r="AI4077" s="116"/>
    </row>
    <row r="4078" spans="27:35" ht="18">
      <c r="AA4078" s="116"/>
      <c r="AB4078" s="87"/>
      <c r="AC4078" s="116"/>
      <c r="AD4078" s="116"/>
      <c r="AE4078" s="116"/>
      <c r="AF4078" s="116"/>
      <c r="AG4078" s="116"/>
      <c r="AH4078" s="116"/>
      <c r="AI4078" s="116"/>
    </row>
    <row r="4079" spans="27:35" ht="18">
      <c r="AA4079" s="116"/>
      <c r="AB4079" s="87"/>
      <c r="AC4079" s="116"/>
      <c r="AD4079" s="116"/>
      <c r="AE4079" s="116"/>
      <c r="AF4079" s="116"/>
      <c r="AG4079" s="116"/>
      <c r="AH4079" s="116"/>
      <c r="AI4079" s="116"/>
    </row>
    <row r="4080" spans="27:35" ht="18">
      <c r="AA4080" s="116"/>
      <c r="AB4080" s="184"/>
      <c r="AC4080" s="116"/>
      <c r="AD4080" s="116"/>
      <c r="AE4080" s="116"/>
      <c r="AF4080" s="116"/>
      <c r="AG4080" s="116"/>
      <c r="AH4080" s="116"/>
      <c r="AI4080" s="116"/>
    </row>
    <row r="4081" spans="27:35" ht="18">
      <c r="AA4081" s="116"/>
      <c r="AB4081" s="87"/>
      <c r="AC4081" s="116"/>
      <c r="AD4081" s="116"/>
      <c r="AE4081" s="116"/>
      <c r="AF4081" s="116"/>
      <c r="AG4081" s="116"/>
      <c r="AH4081" s="116"/>
      <c r="AI4081" s="116"/>
    </row>
    <row r="4082" spans="27:35" ht="18">
      <c r="AA4082" s="116"/>
      <c r="AB4082" s="87"/>
      <c r="AC4082" s="116"/>
      <c r="AD4082" s="116"/>
      <c r="AE4082" s="116"/>
      <c r="AF4082" s="116"/>
      <c r="AG4082" s="116"/>
      <c r="AH4082" s="116"/>
      <c r="AI4082" s="116"/>
    </row>
    <row r="4083" spans="27:35" ht="18">
      <c r="AA4083" s="116"/>
      <c r="AB4083" s="184"/>
      <c r="AC4083" s="116"/>
      <c r="AD4083" s="116"/>
      <c r="AE4083" s="116"/>
      <c r="AF4083" s="116"/>
      <c r="AG4083" s="116"/>
      <c r="AH4083" s="116"/>
      <c r="AI4083" s="116"/>
    </row>
    <row r="4084" spans="27:35" ht="18">
      <c r="AA4084" s="116"/>
      <c r="AB4084" s="87"/>
      <c r="AC4084" s="116"/>
      <c r="AD4084" s="116"/>
      <c r="AE4084" s="116"/>
      <c r="AF4084" s="116"/>
      <c r="AG4084" s="116"/>
      <c r="AH4084" s="116"/>
      <c r="AI4084" s="116"/>
    </row>
    <row r="4085" spans="27:35" ht="18">
      <c r="AA4085" s="116"/>
      <c r="AB4085" s="87"/>
      <c r="AC4085" s="116"/>
      <c r="AD4085" s="116"/>
      <c r="AE4085" s="116"/>
      <c r="AF4085" s="116"/>
      <c r="AG4085" s="116"/>
      <c r="AH4085" s="116"/>
      <c r="AI4085" s="116"/>
    </row>
    <row r="4086" spans="27:35" ht="18">
      <c r="AA4086" s="116"/>
      <c r="AB4086" s="184"/>
      <c r="AC4086" s="116"/>
      <c r="AD4086" s="116"/>
      <c r="AE4086" s="116"/>
      <c r="AF4086" s="116"/>
      <c r="AG4086" s="116"/>
      <c r="AH4086" s="116"/>
      <c r="AI4086" s="116"/>
    </row>
    <row r="4087" spans="27:35" ht="18">
      <c r="AA4087" s="116"/>
      <c r="AB4087" s="87"/>
      <c r="AC4087" s="116"/>
      <c r="AD4087" s="116"/>
      <c r="AE4087" s="116"/>
      <c r="AF4087" s="116"/>
      <c r="AG4087" s="116"/>
      <c r="AH4087" s="116"/>
      <c r="AI4087" s="116"/>
    </row>
    <row r="4088" spans="27:35" ht="18">
      <c r="AA4088" s="116"/>
      <c r="AB4088" s="87"/>
      <c r="AC4088" s="116"/>
      <c r="AD4088" s="116"/>
      <c r="AE4088" s="116"/>
      <c r="AF4088" s="116"/>
      <c r="AG4088" s="116"/>
      <c r="AH4088" s="116"/>
      <c r="AI4088" s="116"/>
    </row>
    <row r="4089" spans="27:35" ht="18">
      <c r="AA4089" s="116"/>
      <c r="AB4089" s="184"/>
      <c r="AC4089" s="116"/>
      <c r="AD4089" s="116"/>
      <c r="AE4089" s="116"/>
      <c r="AF4089" s="116"/>
      <c r="AG4089" s="116"/>
      <c r="AH4089" s="116"/>
      <c r="AI4089" s="116"/>
    </row>
    <row r="4090" spans="27:35" ht="18">
      <c r="AA4090" s="116"/>
      <c r="AB4090" s="87"/>
      <c r="AC4090" s="116"/>
      <c r="AD4090" s="116"/>
      <c r="AE4090" s="116"/>
      <c r="AF4090" s="116"/>
      <c r="AG4090" s="116"/>
      <c r="AH4090" s="116"/>
      <c r="AI4090" s="116"/>
    </row>
    <row r="4091" spans="27:35" ht="18">
      <c r="AA4091" s="116"/>
      <c r="AB4091" s="87"/>
      <c r="AC4091" s="116"/>
      <c r="AD4091" s="116"/>
      <c r="AE4091" s="116"/>
      <c r="AF4091" s="116"/>
      <c r="AG4091" s="116"/>
      <c r="AH4091" s="116"/>
      <c r="AI4091" s="116"/>
    </row>
    <row r="4092" spans="27:35" ht="18">
      <c r="AA4092" s="116"/>
      <c r="AB4092" s="87"/>
      <c r="AC4092" s="116"/>
      <c r="AD4092" s="116"/>
      <c r="AE4092" s="116"/>
      <c r="AF4092" s="116"/>
      <c r="AG4092" s="116"/>
      <c r="AH4092" s="116"/>
      <c r="AI4092" s="116"/>
    </row>
    <row r="4093" spans="27:35" ht="18">
      <c r="AA4093" s="116"/>
      <c r="AB4093" s="87"/>
      <c r="AC4093" s="116"/>
      <c r="AD4093" s="116"/>
      <c r="AE4093" s="116"/>
      <c r="AF4093" s="116"/>
      <c r="AG4093" s="116"/>
      <c r="AH4093" s="116"/>
      <c r="AI4093" s="116"/>
    </row>
    <row r="4094" spans="27:35" ht="18">
      <c r="AA4094" s="116"/>
      <c r="AB4094" s="87"/>
      <c r="AC4094" s="116"/>
      <c r="AD4094" s="116"/>
      <c r="AE4094" s="116"/>
      <c r="AF4094" s="116"/>
      <c r="AG4094" s="116"/>
      <c r="AH4094" s="116"/>
      <c r="AI4094" s="116"/>
    </row>
    <row r="4095" spans="27:35" ht="18">
      <c r="AA4095" s="116"/>
      <c r="AB4095" s="184"/>
      <c r="AC4095" s="116"/>
      <c r="AD4095" s="116"/>
      <c r="AE4095" s="116"/>
      <c r="AF4095" s="116"/>
      <c r="AG4095" s="116"/>
      <c r="AH4095" s="116"/>
      <c r="AI4095" s="116"/>
    </row>
    <row r="4096" spans="27:35" ht="18">
      <c r="AA4096" s="116"/>
      <c r="AB4096" s="87"/>
      <c r="AC4096" s="116"/>
      <c r="AD4096" s="116"/>
      <c r="AE4096" s="116"/>
      <c r="AF4096" s="116"/>
      <c r="AG4096" s="116"/>
      <c r="AH4096" s="116"/>
      <c r="AI4096" s="116"/>
    </row>
    <row r="4097" spans="27:35" ht="18">
      <c r="AA4097" s="116"/>
      <c r="AB4097" s="87"/>
      <c r="AC4097" s="116"/>
      <c r="AD4097" s="116"/>
      <c r="AE4097" s="116"/>
      <c r="AF4097" s="116"/>
      <c r="AG4097" s="116"/>
      <c r="AH4097" s="116"/>
      <c r="AI4097" s="116"/>
    </row>
    <row r="4098" spans="27:35" ht="18">
      <c r="AA4098" s="116"/>
      <c r="AB4098" s="184"/>
      <c r="AC4098" s="116"/>
      <c r="AD4098" s="116"/>
      <c r="AE4098" s="116"/>
      <c r="AF4098" s="116"/>
      <c r="AG4098" s="116"/>
      <c r="AH4098" s="116"/>
      <c r="AI4098" s="116"/>
    </row>
    <row r="4099" spans="27:35" ht="18">
      <c r="AA4099" s="116"/>
      <c r="AB4099" s="87"/>
      <c r="AC4099" s="116"/>
      <c r="AD4099" s="116"/>
      <c r="AE4099" s="116"/>
      <c r="AF4099" s="116"/>
      <c r="AG4099" s="116"/>
      <c r="AH4099" s="116"/>
      <c r="AI4099" s="116"/>
    </row>
    <row r="4100" spans="27:35" ht="18">
      <c r="AA4100" s="116"/>
      <c r="AB4100" s="87"/>
      <c r="AC4100" s="116"/>
      <c r="AD4100" s="116"/>
      <c r="AE4100" s="116"/>
      <c r="AF4100" s="116"/>
      <c r="AG4100" s="116"/>
      <c r="AH4100" s="116"/>
      <c r="AI4100" s="116"/>
    </row>
    <row r="4101" spans="27:35" ht="18">
      <c r="AA4101" s="116"/>
      <c r="AB4101" s="184"/>
      <c r="AC4101" s="116"/>
      <c r="AD4101" s="116"/>
      <c r="AE4101" s="116"/>
      <c r="AF4101" s="116"/>
      <c r="AG4101" s="116"/>
      <c r="AH4101" s="116"/>
      <c r="AI4101" s="116"/>
    </row>
    <row r="4102" spans="27:35" ht="18">
      <c r="AA4102" s="116"/>
      <c r="AB4102" s="87"/>
      <c r="AC4102" s="116"/>
      <c r="AD4102" s="116"/>
      <c r="AE4102" s="116"/>
      <c r="AF4102" s="116"/>
      <c r="AG4102" s="116"/>
      <c r="AH4102" s="116"/>
      <c r="AI4102" s="116"/>
    </row>
    <row r="4103" spans="27:35" ht="18">
      <c r="AA4103" s="116"/>
      <c r="AB4103" s="87"/>
      <c r="AC4103" s="116"/>
      <c r="AD4103" s="116"/>
      <c r="AE4103" s="116"/>
      <c r="AF4103" s="116"/>
      <c r="AG4103" s="116"/>
      <c r="AH4103" s="116"/>
      <c r="AI4103" s="116"/>
    </row>
    <row r="4104" spans="27:35" ht="18">
      <c r="AA4104" s="116"/>
      <c r="AB4104" s="184"/>
      <c r="AC4104" s="116"/>
      <c r="AD4104" s="116"/>
      <c r="AE4104" s="116"/>
      <c r="AF4104" s="116"/>
      <c r="AG4104" s="116"/>
      <c r="AH4104" s="116"/>
      <c r="AI4104" s="116"/>
    </row>
    <row r="4105" spans="27:35" ht="18">
      <c r="AA4105" s="116"/>
      <c r="AB4105" s="87"/>
      <c r="AC4105" s="116"/>
      <c r="AD4105" s="116"/>
      <c r="AE4105" s="116"/>
      <c r="AF4105" s="116"/>
      <c r="AG4105" s="116"/>
      <c r="AH4105" s="116"/>
      <c r="AI4105" s="116"/>
    </row>
    <row r="4106" spans="27:35" ht="18">
      <c r="AA4106" s="116"/>
      <c r="AB4106" s="87"/>
      <c r="AC4106" s="116"/>
      <c r="AD4106" s="116"/>
      <c r="AE4106" s="116"/>
      <c r="AF4106" s="116"/>
      <c r="AG4106" s="116"/>
      <c r="AH4106" s="116"/>
      <c r="AI4106" s="116"/>
    </row>
    <row r="4107" spans="27:35" ht="18">
      <c r="AA4107" s="116"/>
      <c r="AB4107" s="184"/>
      <c r="AC4107" s="116"/>
      <c r="AD4107" s="116"/>
      <c r="AE4107" s="116"/>
      <c r="AF4107" s="116"/>
      <c r="AG4107" s="116"/>
      <c r="AH4107" s="116"/>
      <c r="AI4107" s="116"/>
    </row>
    <row r="4108" spans="27:35" ht="18">
      <c r="AA4108" s="116"/>
      <c r="AB4108" s="184"/>
      <c r="AC4108" s="116"/>
      <c r="AD4108" s="116"/>
      <c r="AE4108" s="116"/>
      <c r="AF4108" s="116"/>
      <c r="AG4108" s="116"/>
      <c r="AH4108" s="116"/>
      <c r="AI4108" s="116"/>
    </row>
    <row r="4109" spans="27:35" ht="18">
      <c r="AA4109" s="116"/>
      <c r="AB4109" s="87"/>
      <c r="AC4109" s="116"/>
      <c r="AD4109" s="116"/>
      <c r="AE4109" s="116"/>
      <c r="AF4109" s="116"/>
      <c r="AG4109" s="116"/>
      <c r="AH4109" s="116"/>
      <c r="AI4109" s="116"/>
    </row>
    <row r="4110" spans="27:35" ht="18">
      <c r="AA4110" s="116"/>
      <c r="AB4110" s="87"/>
      <c r="AC4110" s="116"/>
      <c r="AD4110" s="116"/>
      <c r="AE4110" s="116"/>
      <c r="AF4110" s="116"/>
      <c r="AG4110" s="116"/>
      <c r="AH4110" s="116"/>
      <c r="AI4110" s="116"/>
    </row>
    <row r="4111" spans="27:35" ht="18">
      <c r="AA4111" s="116"/>
      <c r="AB4111" s="184"/>
      <c r="AC4111" s="116"/>
      <c r="AD4111" s="116"/>
      <c r="AE4111" s="116"/>
      <c r="AF4111" s="116"/>
      <c r="AG4111" s="116"/>
      <c r="AH4111" s="116"/>
      <c r="AI4111" s="116"/>
    </row>
    <row r="4112" spans="27:35" ht="18">
      <c r="AA4112" s="116"/>
      <c r="AB4112" s="87"/>
      <c r="AC4112" s="116"/>
      <c r="AD4112" s="116"/>
      <c r="AE4112" s="116"/>
      <c r="AF4112" s="116"/>
      <c r="AG4112" s="116"/>
      <c r="AH4112" s="116"/>
      <c r="AI4112" s="116"/>
    </row>
    <row r="4113" spans="27:35" ht="18">
      <c r="AA4113" s="116"/>
      <c r="AB4113" s="87"/>
      <c r="AC4113" s="116"/>
      <c r="AD4113" s="116"/>
      <c r="AE4113" s="116"/>
      <c r="AF4113" s="116"/>
      <c r="AG4113" s="116"/>
      <c r="AH4113" s="116"/>
      <c r="AI4113" s="116"/>
    </row>
    <row r="4114" spans="27:35" ht="18">
      <c r="AA4114" s="116"/>
      <c r="AB4114" s="184"/>
      <c r="AC4114" s="116"/>
      <c r="AD4114" s="116"/>
      <c r="AE4114" s="116"/>
      <c r="AF4114" s="116"/>
      <c r="AG4114" s="116"/>
      <c r="AH4114" s="116"/>
      <c r="AI4114" s="116"/>
    </row>
    <row r="4115" spans="27:35" ht="18">
      <c r="AA4115" s="116"/>
      <c r="AB4115" s="87"/>
      <c r="AC4115" s="116"/>
      <c r="AD4115" s="116"/>
      <c r="AE4115" s="116"/>
      <c r="AF4115" s="116"/>
      <c r="AG4115" s="116"/>
      <c r="AH4115" s="116"/>
      <c r="AI4115" s="116"/>
    </row>
    <row r="4116" spans="27:35" ht="18">
      <c r="AA4116" s="116"/>
      <c r="AB4116" s="87"/>
      <c r="AC4116" s="116"/>
      <c r="AD4116" s="116"/>
      <c r="AE4116" s="116"/>
      <c r="AF4116" s="116"/>
      <c r="AG4116" s="116"/>
      <c r="AH4116" s="116"/>
      <c r="AI4116" s="116"/>
    </row>
    <row r="4117" spans="27:35" ht="18">
      <c r="AA4117" s="116"/>
      <c r="AB4117" s="184"/>
      <c r="AC4117" s="116"/>
      <c r="AD4117" s="116"/>
      <c r="AE4117" s="116"/>
      <c r="AF4117" s="116"/>
      <c r="AG4117" s="116"/>
      <c r="AH4117" s="116"/>
      <c r="AI4117" s="116"/>
    </row>
    <row r="4118" spans="27:35" ht="18">
      <c r="AA4118" s="116"/>
      <c r="AB4118" s="87"/>
      <c r="AC4118" s="116"/>
      <c r="AD4118" s="116"/>
      <c r="AE4118" s="116"/>
      <c r="AF4118" s="116"/>
      <c r="AG4118" s="116"/>
      <c r="AH4118" s="116"/>
      <c r="AI4118" s="116"/>
    </row>
    <row r="4119" spans="27:35" ht="18">
      <c r="AA4119" s="116"/>
      <c r="AB4119" s="87"/>
      <c r="AC4119" s="116"/>
      <c r="AD4119" s="116"/>
      <c r="AE4119" s="116"/>
      <c r="AF4119" s="116"/>
      <c r="AG4119" s="116"/>
      <c r="AH4119" s="116"/>
      <c r="AI4119" s="116"/>
    </row>
    <row r="4120" spans="27:35" ht="18">
      <c r="AA4120" s="116"/>
      <c r="AB4120" s="184"/>
      <c r="AC4120" s="116"/>
      <c r="AD4120" s="116"/>
      <c r="AE4120" s="116"/>
      <c r="AF4120" s="116"/>
      <c r="AG4120" s="116"/>
      <c r="AH4120" s="116"/>
      <c r="AI4120" s="116"/>
    </row>
    <row r="4121" spans="27:35" ht="18">
      <c r="AA4121" s="116"/>
      <c r="AB4121" s="87"/>
      <c r="AC4121" s="116"/>
      <c r="AD4121" s="116"/>
      <c r="AE4121" s="116"/>
      <c r="AF4121" s="116"/>
      <c r="AG4121" s="116"/>
      <c r="AH4121" s="116"/>
      <c r="AI4121" s="116"/>
    </row>
    <row r="4122" spans="27:35" ht="18">
      <c r="AA4122" s="116"/>
      <c r="AB4122" s="87"/>
      <c r="AC4122" s="116"/>
      <c r="AD4122" s="116"/>
      <c r="AE4122" s="116"/>
      <c r="AF4122" s="116"/>
      <c r="AG4122" s="116"/>
      <c r="AH4122" s="116"/>
      <c r="AI4122" s="116"/>
    </row>
    <row r="4123" spans="27:35" ht="18">
      <c r="AA4123" s="116"/>
      <c r="AB4123" s="184"/>
      <c r="AC4123" s="116"/>
      <c r="AD4123" s="116"/>
      <c r="AE4123" s="116"/>
      <c r="AF4123" s="116"/>
      <c r="AG4123" s="116"/>
      <c r="AH4123" s="116"/>
      <c r="AI4123" s="116"/>
    </row>
    <row r="4124" spans="27:35" ht="18">
      <c r="AA4124" s="116"/>
      <c r="AB4124" s="87"/>
      <c r="AC4124" s="116"/>
      <c r="AD4124" s="116"/>
      <c r="AE4124" s="116"/>
      <c r="AF4124" s="116"/>
      <c r="AG4124" s="116"/>
      <c r="AH4124" s="116"/>
      <c r="AI4124" s="116"/>
    </row>
    <row r="4125" spans="27:35" ht="18">
      <c r="AA4125" s="116"/>
      <c r="AB4125" s="87"/>
      <c r="AC4125" s="116"/>
      <c r="AD4125" s="116"/>
      <c r="AE4125" s="116"/>
      <c r="AF4125" s="116"/>
      <c r="AG4125" s="116"/>
      <c r="AH4125" s="116"/>
      <c r="AI4125" s="116"/>
    </row>
    <row r="4126" spans="27:35" ht="18">
      <c r="AA4126" s="116"/>
      <c r="AB4126" s="184"/>
      <c r="AC4126" s="116"/>
      <c r="AD4126" s="116"/>
      <c r="AE4126" s="116"/>
      <c r="AF4126" s="116"/>
      <c r="AG4126" s="116"/>
      <c r="AH4126" s="116"/>
      <c r="AI4126" s="116"/>
    </row>
    <row r="4127" spans="27:35" ht="18">
      <c r="AA4127" s="116"/>
      <c r="AB4127" s="87"/>
      <c r="AC4127" s="116"/>
      <c r="AD4127" s="116"/>
      <c r="AE4127" s="116"/>
      <c r="AF4127" s="116"/>
      <c r="AG4127" s="116"/>
      <c r="AH4127" s="116"/>
      <c r="AI4127" s="116"/>
    </row>
    <row r="4128" spans="27:35" ht="18">
      <c r="AA4128" s="116"/>
      <c r="AB4128" s="87"/>
      <c r="AC4128" s="116"/>
      <c r="AD4128" s="116"/>
      <c r="AE4128" s="116"/>
      <c r="AF4128" s="116"/>
      <c r="AG4128" s="116"/>
      <c r="AH4128" s="116"/>
      <c r="AI4128" s="116"/>
    </row>
    <row r="4129" spans="27:35" ht="18">
      <c r="AA4129" s="116"/>
      <c r="AB4129" s="184"/>
      <c r="AC4129" s="116"/>
      <c r="AD4129" s="116"/>
      <c r="AE4129" s="116"/>
      <c r="AF4129" s="116"/>
      <c r="AG4129" s="116"/>
      <c r="AH4129" s="116"/>
      <c r="AI4129" s="116"/>
    </row>
    <row r="4130" spans="27:35" ht="18">
      <c r="AA4130" s="116"/>
      <c r="AB4130" s="87"/>
      <c r="AC4130" s="116"/>
      <c r="AD4130" s="116"/>
      <c r="AE4130" s="116"/>
      <c r="AF4130" s="116"/>
      <c r="AG4130" s="116"/>
      <c r="AH4130" s="116"/>
      <c r="AI4130" s="116"/>
    </row>
    <row r="4131" spans="27:35" ht="18">
      <c r="AA4131" s="116"/>
      <c r="AB4131" s="87"/>
      <c r="AC4131" s="116"/>
      <c r="AD4131" s="116"/>
      <c r="AE4131" s="116"/>
      <c r="AF4131" s="116"/>
      <c r="AG4131" s="116"/>
      <c r="AH4131" s="116"/>
      <c r="AI4131" s="116"/>
    </row>
    <row r="4132" spans="27:35" ht="18">
      <c r="AA4132" s="116"/>
      <c r="AB4132" s="184"/>
      <c r="AC4132" s="116"/>
      <c r="AD4132" s="116"/>
      <c r="AE4132" s="116"/>
      <c r="AF4132" s="116"/>
      <c r="AG4132" s="116"/>
      <c r="AH4132" s="116"/>
      <c r="AI4132" s="116"/>
    </row>
    <row r="4133" spans="27:35" ht="18">
      <c r="AA4133" s="116"/>
      <c r="AB4133" s="87"/>
      <c r="AC4133" s="116"/>
      <c r="AD4133" s="116"/>
      <c r="AE4133" s="116"/>
      <c r="AF4133" s="116"/>
      <c r="AG4133" s="116"/>
      <c r="AH4133" s="116"/>
      <c r="AI4133" s="116"/>
    </row>
    <row r="4134" spans="27:35" ht="18">
      <c r="AA4134" s="116"/>
      <c r="AB4134" s="87"/>
      <c r="AC4134" s="116"/>
      <c r="AD4134" s="116"/>
      <c r="AE4134" s="116"/>
      <c r="AF4134" s="116"/>
      <c r="AG4134" s="116"/>
      <c r="AH4134" s="116"/>
      <c r="AI4134" s="116"/>
    </row>
    <row r="4135" spans="27:35" ht="18">
      <c r="AA4135" s="116"/>
      <c r="AB4135" s="184"/>
      <c r="AC4135" s="116"/>
      <c r="AD4135" s="116"/>
      <c r="AE4135" s="116"/>
      <c r="AF4135" s="116"/>
      <c r="AG4135" s="116"/>
      <c r="AH4135" s="116"/>
      <c r="AI4135" s="116"/>
    </row>
    <row r="4136" spans="27:35" ht="18">
      <c r="AA4136" s="116"/>
      <c r="AB4136" s="87"/>
      <c r="AC4136" s="116"/>
      <c r="AD4136" s="116"/>
      <c r="AE4136" s="116"/>
      <c r="AF4136" s="116"/>
      <c r="AG4136" s="116"/>
      <c r="AH4136" s="116"/>
      <c r="AI4136" s="116"/>
    </row>
    <row r="4137" spans="27:35" ht="18">
      <c r="AA4137" s="116"/>
      <c r="AB4137" s="87"/>
      <c r="AC4137" s="116"/>
      <c r="AD4137" s="116"/>
      <c r="AE4137" s="116"/>
      <c r="AF4137" s="116"/>
      <c r="AG4137" s="116"/>
      <c r="AH4137" s="116"/>
      <c r="AI4137" s="116"/>
    </row>
    <row r="4138" spans="27:35" ht="18">
      <c r="AA4138" s="116"/>
      <c r="AB4138" s="184"/>
      <c r="AC4138" s="116"/>
      <c r="AD4138" s="116"/>
      <c r="AE4138" s="116"/>
      <c r="AF4138" s="116"/>
      <c r="AG4138" s="116"/>
      <c r="AH4138" s="116"/>
      <c r="AI4138" s="116"/>
    </row>
    <row r="4139" spans="27:35" ht="18">
      <c r="AA4139" s="116"/>
      <c r="AB4139" s="87"/>
      <c r="AC4139" s="116"/>
      <c r="AD4139" s="116"/>
      <c r="AE4139" s="116"/>
      <c r="AF4139" s="116"/>
      <c r="AG4139" s="116"/>
      <c r="AH4139" s="116"/>
      <c r="AI4139" s="116"/>
    </row>
    <row r="4140" spans="27:35" ht="18">
      <c r="AA4140" s="116"/>
      <c r="AB4140" s="87"/>
      <c r="AC4140" s="116"/>
      <c r="AD4140" s="116"/>
      <c r="AE4140" s="116"/>
      <c r="AF4140" s="116"/>
      <c r="AG4140" s="116"/>
      <c r="AH4140" s="116"/>
      <c r="AI4140" s="116"/>
    </row>
    <row r="4141" spans="27:35" ht="18">
      <c r="AA4141" s="116"/>
      <c r="AB4141" s="184"/>
      <c r="AC4141" s="116"/>
      <c r="AD4141" s="116"/>
      <c r="AE4141" s="116"/>
      <c r="AF4141" s="116"/>
      <c r="AG4141" s="116"/>
      <c r="AH4141" s="116"/>
      <c r="AI4141" s="116"/>
    </row>
    <row r="4142" spans="27:35" ht="18">
      <c r="AA4142" s="116"/>
      <c r="AB4142" s="87"/>
      <c r="AC4142" s="116"/>
      <c r="AD4142" s="116"/>
      <c r="AE4142" s="116"/>
      <c r="AF4142" s="116"/>
      <c r="AG4142" s="116"/>
      <c r="AH4142" s="116"/>
      <c r="AI4142" s="116"/>
    </row>
    <row r="4143" spans="27:35" ht="18">
      <c r="AA4143" s="116"/>
      <c r="AB4143" s="87"/>
      <c r="AC4143" s="116"/>
      <c r="AD4143" s="116"/>
      <c r="AE4143" s="116"/>
      <c r="AF4143" s="116"/>
      <c r="AG4143" s="116"/>
      <c r="AH4143" s="116"/>
      <c r="AI4143" s="116"/>
    </row>
    <row r="4144" spans="27:35" ht="18">
      <c r="AA4144" s="116"/>
      <c r="AB4144" s="184"/>
      <c r="AC4144" s="116"/>
      <c r="AD4144" s="116"/>
      <c r="AE4144" s="116"/>
      <c r="AF4144" s="116"/>
      <c r="AG4144" s="116"/>
      <c r="AH4144" s="116"/>
      <c r="AI4144" s="116"/>
    </row>
    <row r="4145" spans="27:35" ht="18">
      <c r="AA4145" s="116"/>
      <c r="AB4145" s="87"/>
      <c r="AC4145" s="116"/>
      <c r="AD4145" s="116"/>
      <c r="AE4145" s="116"/>
      <c r="AF4145" s="116"/>
      <c r="AG4145" s="116"/>
      <c r="AH4145" s="116"/>
      <c r="AI4145" s="116"/>
    </row>
    <row r="4146" spans="27:35" ht="18">
      <c r="AA4146" s="116"/>
      <c r="AB4146" s="87"/>
      <c r="AC4146" s="116"/>
      <c r="AD4146" s="116"/>
      <c r="AE4146" s="116"/>
      <c r="AF4146" s="116"/>
      <c r="AG4146" s="116"/>
      <c r="AH4146" s="116"/>
      <c r="AI4146" s="116"/>
    </row>
    <row r="4147" spans="27:35" ht="18">
      <c r="AA4147" s="116"/>
      <c r="AB4147" s="184"/>
      <c r="AC4147" s="116"/>
      <c r="AD4147" s="116"/>
      <c r="AE4147" s="116"/>
      <c r="AF4147" s="116"/>
      <c r="AG4147" s="116"/>
      <c r="AH4147" s="116"/>
      <c r="AI4147" s="116"/>
    </row>
    <row r="4148" spans="27:35" ht="18">
      <c r="AA4148" s="116"/>
      <c r="AB4148" s="87"/>
      <c r="AC4148" s="116"/>
      <c r="AD4148" s="116"/>
      <c r="AE4148" s="116"/>
      <c r="AF4148" s="116"/>
      <c r="AG4148" s="116"/>
      <c r="AH4148" s="116"/>
      <c r="AI4148" s="116"/>
    </row>
    <row r="4149" spans="27:35" ht="18">
      <c r="AA4149" s="116"/>
      <c r="AB4149" s="87"/>
      <c r="AC4149" s="116"/>
      <c r="AD4149" s="116"/>
      <c r="AE4149" s="116"/>
      <c r="AF4149" s="116"/>
      <c r="AG4149" s="116"/>
      <c r="AH4149" s="116"/>
      <c r="AI4149" s="116"/>
    </row>
    <row r="4150" spans="27:35" ht="18">
      <c r="AA4150" s="116"/>
      <c r="AB4150" s="184"/>
      <c r="AC4150" s="116"/>
      <c r="AD4150" s="116"/>
      <c r="AE4150" s="116"/>
      <c r="AF4150" s="116"/>
      <c r="AG4150" s="116"/>
      <c r="AH4150" s="116"/>
      <c r="AI4150" s="116"/>
    </row>
    <row r="4151" spans="27:35" ht="18">
      <c r="AA4151" s="116"/>
      <c r="AB4151" s="87"/>
      <c r="AC4151" s="116"/>
      <c r="AD4151" s="116"/>
      <c r="AE4151" s="116"/>
      <c r="AF4151" s="116"/>
      <c r="AG4151" s="116"/>
      <c r="AH4151" s="116"/>
      <c r="AI4151" s="116"/>
    </row>
    <row r="4152" spans="27:35" ht="18">
      <c r="AA4152" s="116"/>
      <c r="AB4152" s="87"/>
      <c r="AC4152" s="116"/>
      <c r="AD4152" s="116"/>
      <c r="AE4152" s="116"/>
      <c r="AF4152" s="116"/>
      <c r="AG4152" s="116"/>
      <c r="AH4152" s="116"/>
      <c r="AI4152" s="116"/>
    </row>
    <row r="4153" spans="27:35" ht="18">
      <c r="AA4153" s="116"/>
      <c r="AB4153" s="87"/>
      <c r="AC4153" s="116"/>
      <c r="AD4153" s="116"/>
      <c r="AE4153" s="116"/>
      <c r="AF4153" s="116"/>
      <c r="AG4153" s="116"/>
      <c r="AH4153" s="116"/>
      <c r="AI4153" s="116"/>
    </row>
    <row r="4154" spans="27:35" ht="18">
      <c r="AA4154" s="116"/>
      <c r="AB4154" s="184"/>
      <c r="AC4154" s="116"/>
      <c r="AD4154" s="116"/>
      <c r="AE4154" s="116"/>
      <c r="AF4154" s="116"/>
      <c r="AG4154" s="116"/>
      <c r="AH4154" s="116"/>
      <c r="AI4154" s="116"/>
    </row>
    <row r="4155" spans="27:35" ht="18">
      <c r="AA4155" s="116"/>
      <c r="AB4155" s="184"/>
      <c r="AC4155" s="116"/>
      <c r="AD4155" s="116"/>
      <c r="AE4155" s="116"/>
      <c r="AF4155" s="116"/>
      <c r="AG4155" s="116"/>
      <c r="AH4155" s="116"/>
      <c r="AI4155" s="116"/>
    </row>
    <row r="4156" spans="27:35" ht="18">
      <c r="AA4156" s="116"/>
      <c r="AB4156" s="87"/>
      <c r="AC4156" s="116"/>
      <c r="AD4156" s="116"/>
      <c r="AE4156" s="116"/>
      <c r="AF4156" s="116"/>
      <c r="AG4156" s="116"/>
      <c r="AH4156" s="116"/>
      <c r="AI4156" s="116"/>
    </row>
    <row r="4157" spans="27:35" ht="18">
      <c r="AA4157" s="116"/>
      <c r="AB4157" s="87"/>
      <c r="AC4157" s="116"/>
      <c r="AD4157" s="116"/>
      <c r="AE4157" s="116"/>
      <c r="AF4157" s="116"/>
      <c r="AG4157" s="116"/>
      <c r="AH4157" s="116"/>
      <c r="AI4157" s="116"/>
    </row>
    <row r="4158" spans="27:35" ht="18">
      <c r="AA4158" s="116"/>
      <c r="AB4158" s="87"/>
      <c r="AC4158" s="116"/>
      <c r="AD4158" s="116"/>
      <c r="AE4158" s="116"/>
      <c r="AF4158" s="116"/>
      <c r="AG4158" s="116"/>
      <c r="AH4158" s="116"/>
      <c r="AI4158" s="116"/>
    </row>
    <row r="4159" spans="27:35" ht="18">
      <c r="AA4159" s="116"/>
      <c r="AB4159" s="87"/>
      <c r="AC4159" s="116"/>
      <c r="AD4159" s="116"/>
      <c r="AE4159" s="116"/>
      <c r="AF4159" s="116"/>
      <c r="AG4159" s="116"/>
      <c r="AH4159" s="116"/>
      <c r="AI4159" s="116"/>
    </row>
    <row r="4160" spans="27:35" ht="18">
      <c r="AA4160" s="116"/>
      <c r="AB4160" s="87"/>
      <c r="AC4160" s="116"/>
      <c r="AD4160" s="116"/>
      <c r="AE4160" s="116"/>
      <c r="AF4160" s="116"/>
      <c r="AG4160" s="116"/>
      <c r="AH4160" s="116"/>
      <c r="AI4160" s="116"/>
    </row>
    <row r="4161" spans="27:35" ht="18">
      <c r="AA4161" s="116"/>
      <c r="AB4161" s="87"/>
      <c r="AC4161" s="116"/>
      <c r="AD4161" s="116"/>
      <c r="AE4161" s="116"/>
      <c r="AF4161" s="116"/>
      <c r="AG4161" s="116"/>
      <c r="AH4161" s="116"/>
      <c r="AI4161" s="116"/>
    </row>
    <row r="4162" spans="27:35" ht="18">
      <c r="AA4162" s="116"/>
      <c r="AB4162" s="87"/>
      <c r="AC4162" s="116"/>
      <c r="AD4162" s="116"/>
      <c r="AE4162" s="116"/>
      <c r="AF4162" s="116"/>
      <c r="AG4162" s="116"/>
      <c r="AH4162" s="116"/>
      <c r="AI4162" s="116"/>
    </row>
    <row r="4163" spans="27:35" ht="18">
      <c r="AA4163" s="116"/>
      <c r="AB4163" s="87"/>
      <c r="AC4163" s="116"/>
      <c r="AD4163" s="116"/>
      <c r="AE4163" s="116"/>
      <c r="AF4163" s="116"/>
      <c r="AG4163" s="116"/>
      <c r="AH4163" s="116"/>
      <c r="AI4163" s="116"/>
    </row>
    <row r="4164" spans="27:35" ht="18">
      <c r="AA4164" s="116"/>
      <c r="AB4164" s="87"/>
      <c r="AC4164" s="116"/>
      <c r="AD4164" s="116"/>
      <c r="AE4164" s="116"/>
      <c r="AF4164" s="116"/>
      <c r="AG4164" s="116"/>
      <c r="AH4164" s="116"/>
      <c r="AI4164" s="116"/>
    </row>
    <row r="4165" spans="27:35" ht="18">
      <c r="AA4165" s="116"/>
      <c r="AB4165" s="87"/>
      <c r="AC4165" s="116"/>
      <c r="AD4165" s="116"/>
      <c r="AE4165" s="116"/>
      <c r="AF4165" s="116"/>
      <c r="AG4165" s="116"/>
      <c r="AH4165" s="116"/>
      <c r="AI4165" s="116"/>
    </row>
    <row r="4166" spans="27:35" ht="18">
      <c r="AA4166" s="116"/>
      <c r="AB4166" s="184"/>
      <c r="AC4166" s="116"/>
      <c r="AD4166" s="116"/>
      <c r="AE4166" s="116"/>
      <c r="AF4166" s="116"/>
      <c r="AG4166" s="116"/>
      <c r="AH4166" s="116"/>
      <c r="AI4166" s="116"/>
    </row>
    <row r="4167" spans="27:35" ht="18">
      <c r="AA4167" s="116"/>
      <c r="AB4167" s="87"/>
      <c r="AC4167" s="116"/>
      <c r="AD4167" s="116"/>
      <c r="AE4167" s="116"/>
      <c r="AF4167" s="116"/>
      <c r="AG4167" s="116"/>
      <c r="AH4167" s="116"/>
      <c r="AI4167" s="116"/>
    </row>
    <row r="4168" spans="27:35" ht="18">
      <c r="AA4168" s="116"/>
      <c r="AB4168" s="87"/>
      <c r="AC4168" s="116"/>
      <c r="AD4168" s="116"/>
      <c r="AE4168" s="116"/>
      <c r="AF4168" s="116"/>
      <c r="AG4168" s="116"/>
      <c r="AH4168" s="116"/>
      <c r="AI4168" s="116"/>
    </row>
    <row r="4169" spans="27:35" ht="18">
      <c r="AA4169" s="116"/>
      <c r="AB4169" s="87"/>
      <c r="AC4169" s="116"/>
      <c r="AD4169" s="116"/>
      <c r="AE4169" s="116"/>
      <c r="AF4169" s="116"/>
      <c r="AG4169" s="116"/>
      <c r="AH4169" s="116"/>
      <c r="AI4169" s="116"/>
    </row>
    <row r="4170" spans="27:35" ht="18">
      <c r="AA4170" s="116"/>
      <c r="AB4170" s="87"/>
      <c r="AC4170" s="116"/>
      <c r="AD4170" s="116"/>
      <c r="AE4170" s="116"/>
      <c r="AF4170" s="116"/>
      <c r="AG4170" s="116"/>
      <c r="AH4170" s="116"/>
      <c r="AI4170" s="116"/>
    </row>
    <row r="4171" spans="27:35" ht="18">
      <c r="AA4171" s="116"/>
      <c r="AB4171" s="87"/>
      <c r="AC4171" s="116"/>
      <c r="AD4171" s="116"/>
      <c r="AE4171" s="116"/>
      <c r="AF4171" s="116"/>
      <c r="AG4171" s="116"/>
      <c r="AH4171" s="116"/>
      <c r="AI4171" s="116"/>
    </row>
    <row r="4172" spans="27:35" ht="18">
      <c r="AA4172" s="116"/>
      <c r="AB4172" s="184"/>
      <c r="AC4172" s="116"/>
      <c r="AD4172" s="116"/>
      <c r="AE4172" s="116"/>
      <c r="AF4172" s="116"/>
      <c r="AG4172" s="116"/>
      <c r="AH4172" s="116"/>
      <c r="AI4172" s="116"/>
    </row>
    <row r="4173" spans="27:35" ht="18">
      <c r="AA4173" s="116"/>
      <c r="AB4173" s="87"/>
      <c r="AC4173" s="116"/>
      <c r="AD4173" s="116"/>
      <c r="AE4173" s="116"/>
      <c r="AF4173" s="116"/>
      <c r="AG4173" s="116"/>
      <c r="AH4173" s="116"/>
      <c r="AI4173" s="116"/>
    </row>
    <row r="4174" spans="27:35" ht="18">
      <c r="AA4174" s="116"/>
      <c r="AB4174" s="87"/>
      <c r="AC4174" s="116"/>
      <c r="AD4174" s="116"/>
      <c r="AE4174" s="116"/>
      <c r="AF4174" s="116"/>
      <c r="AG4174" s="116"/>
      <c r="AH4174" s="116"/>
      <c r="AI4174" s="116"/>
    </row>
    <row r="4175" spans="27:35" ht="18">
      <c r="AA4175" s="116"/>
      <c r="AB4175" s="184"/>
      <c r="AC4175" s="116"/>
      <c r="AD4175" s="116"/>
      <c r="AE4175" s="116"/>
      <c r="AF4175" s="116"/>
      <c r="AG4175" s="116"/>
      <c r="AH4175" s="116"/>
      <c r="AI4175" s="116"/>
    </row>
    <row r="4176" spans="27:35" ht="18">
      <c r="AA4176" s="116"/>
      <c r="AB4176" s="87"/>
      <c r="AC4176" s="116"/>
      <c r="AD4176" s="116"/>
      <c r="AE4176" s="116"/>
      <c r="AF4176" s="116"/>
      <c r="AG4176" s="116"/>
      <c r="AH4176" s="116"/>
      <c r="AI4176" s="116"/>
    </row>
    <row r="4177" spans="27:35" ht="18">
      <c r="AA4177" s="116"/>
      <c r="AB4177" s="87"/>
      <c r="AC4177" s="116"/>
      <c r="AD4177" s="116"/>
      <c r="AE4177" s="116"/>
      <c r="AF4177" s="116"/>
      <c r="AG4177" s="116"/>
      <c r="AH4177" s="116"/>
      <c r="AI4177" s="116"/>
    </row>
    <row r="4178" spans="27:35" ht="18">
      <c r="AA4178" s="116"/>
      <c r="AB4178" s="184"/>
      <c r="AC4178" s="116"/>
      <c r="AD4178" s="116"/>
      <c r="AE4178" s="116"/>
      <c r="AF4178" s="116"/>
      <c r="AG4178" s="116"/>
      <c r="AH4178" s="116"/>
      <c r="AI4178" s="116"/>
    </row>
    <row r="4179" spans="27:35" ht="18">
      <c r="AA4179" s="116"/>
      <c r="AB4179" s="87"/>
      <c r="AC4179" s="116"/>
      <c r="AD4179" s="116"/>
      <c r="AE4179" s="116"/>
      <c r="AF4179" s="116"/>
      <c r="AG4179" s="116"/>
      <c r="AH4179" s="116"/>
      <c r="AI4179" s="116"/>
    </row>
    <row r="4180" spans="27:35" ht="18">
      <c r="AA4180" s="116"/>
      <c r="AB4180" s="87"/>
      <c r="AC4180" s="116"/>
      <c r="AD4180" s="116"/>
      <c r="AE4180" s="116"/>
      <c r="AF4180" s="116"/>
      <c r="AG4180" s="116"/>
      <c r="AH4180" s="116"/>
      <c r="AI4180" s="116"/>
    </row>
    <row r="4181" spans="27:35" ht="18">
      <c r="AA4181" s="116"/>
      <c r="AB4181" s="184"/>
      <c r="AC4181" s="116"/>
      <c r="AD4181" s="116"/>
      <c r="AE4181" s="116"/>
      <c r="AF4181" s="116"/>
      <c r="AG4181" s="116"/>
      <c r="AH4181" s="116"/>
      <c r="AI4181" s="116"/>
    </row>
    <row r="4182" spans="27:35" ht="18">
      <c r="AA4182" s="116"/>
      <c r="AB4182" s="87"/>
      <c r="AC4182" s="116"/>
      <c r="AD4182" s="116"/>
      <c r="AE4182" s="116"/>
      <c r="AF4182" s="116"/>
      <c r="AG4182" s="116"/>
      <c r="AH4182" s="116"/>
      <c r="AI4182" s="116"/>
    </row>
    <row r="4183" spans="27:35" ht="18">
      <c r="AA4183" s="116"/>
      <c r="AB4183" s="87"/>
      <c r="AC4183" s="116"/>
      <c r="AD4183" s="116"/>
      <c r="AE4183" s="116"/>
      <c r="AF4183" s="116"/>
      <c r="AG4183" s="116"/>
      <c r="AH4183" s="116"/>
      <c r="AI4183" s="116"/>
    </row>
    <row r="4184" spans="27:35" ht="18">
      <c r="AA4184" s="116"/>
      <c r="AB4184" s="184"/>
      <c r="AC4184" s="116"/>
      <c r="AD4184" s="116"/>
      <c r="AE4184" s="116"/>
      <c r="AF4184" s="116"/>
      <c r="AG4184" s="116"/>
      <c r="AH4184" s="116"/>
      <c r="AI4184" s="116"/>
    </row>
    <row r="4185" spans="27:35" ht="18">
      <c r="AA4185" s="116"/>
      <c r="AB4185" s="184"/>
      <c r="AC4185" s="116"/>
      <c r="AD4185" s="116"/>
      <c r="AE4185" s="116"/>
      <c r="AF4185" s="116"/>
      <c r="AG4185" s="116"/>
      <c r="AH4185" s="116"/>
      <c r="AI4185" s="116"/>
    </row>
    <row r="4186" spans="27:35" ht="18">
      <c r="AA4186" s="116"/>
      <c r="AB4186" s="87"/>
      <c r="AC4186" s="116"/>
      <c r="AD4186" s="116"/>
      <c r="AE4186" s="116"/>
      <c r="AF4186" s="116"/>
      <c r="AG4186" s="116"/>
      <c r="AH4186" s="116"/>
      <c r="AI4186" s="116"/>
    </row>
    <row r="4187" spans="27:35" ht="18">
      <c r="AA4187" s="116"/>
      <c r="AB4187" s="87"/>
      <c r="AC4187" s="116"/>
      <c r="AD4187" s="116"/>
      <c r="AE4187" s="116"/>
      <c r="AF4187" s="116"/>
      <c r="AG4187" s="116"/>
      <c r="AH4187" s="116"/>
      <c r="AI4187" s="116"/>
    </row>
    <row r="4188" spans="27:35" ht="18">
      <c r="AA4188" s="116"/>
      <c r="AB4188" s="184"/>
      <c r="AC4188" s="116"/>
      <c r="AD4188" s="116"/>
      <c r="AE4188" s="116"/>
      <c r="AF4188" s="116"/>
      <c r="AG4188" s="116"/>
      <c r="AH4188" s="116"/>
      <c r="AI4188" s="116"/>
    </row>
    <row r="4189" spans="27:35" ht="18">
      <c r="AA4189" s="116"/>
      <c r="AB4189" s="87"/>
      <c r="AC4189" s="116"/>
      <c r="AD4189" s="116"/>
      <c r="AE4189" s="116"/>
      <c r="AF4189" s="116"/>
      <c r="AG4189" s="116"/>
      <c r="AH4189" s="116"/>
      <c r="AI4189" s="116"/>
    </row>
    <row r="4190" spans="27:35" ht="18">
      <c r="AA4190" s="116"/>
      <c r="AB4190" s="87"/>
      <c r="AC4190" s="116"/>
      <c r="AD4190" s="116"/>
      <c r="AE4190" s="116"/>
      <c r="AF4190" s="116"/>
      <c r="AG4190" s="116"/>
      <c r="AH4190" s="116"/>
      <c r="AI4190" s="116"/>
    </row>
    <row r="4191" spans="27:35" ht="18">
      <c r="AA4191" s="116"/>
      <c r="AB4191" s="87"/>
      <c r="AC4191" s="116"/>
      <c r="AD4191" s="116"/>
      <c r="AE4191" s="116"/>
      <c r="AF4191" s="116"/>
      <c r="AG4191" s="116"/>
      <c r="AH4191" s="116"/>
      <c r="AI4191" s="116"/>
    </row>
    <row r="4192" spans="27:35" ht="18">
      <c r="AA4192" s="116"/>
      <c r="AB4192" s="87"/>
      <c r="AC4192" s="116"/>
      <c r="AD4192" s="116"/>
      <c r="AE4192" s="116"/>
      <c r="AF4192" s="116"/>
      <c r="AG4192" s="116"/>
      <c r="AH4192" s="116"/>
      <c r="AI4192" s="116"/>
    </row>
    <row r="4193" spans="27:35" ht="18">
      <c r="AA4193" s="116"/>
      <c r="AB4193" s="87"/>
      <c r="AC4193" s="116"/>
      <c r="AD4193" s="116"/>
      <c r="AE4193" s="116"/>
      <c r="AF4193" s="116"/>
      <c r="AG4193" s="116"/>
      <c r="AH4193" s="116"/>
      <c r="AI4193" s="116"/>
    </row>
    <row r="4194" spans="27:35" ht="18">
      <c r="AA4194" s="116"/>
      <c r="AB4194" s="184"/>
      <c r="AC4194" s="116"/>
      <c r="AD4194" s="116"/>
      <c r="AE4194" s="116"/>
      <c r="AF4194" s="116"/>
      <c r="AG4194" s="116"/>
      <c r="AH4194" s="116"/>
      <c r="AI4194" s="116"/>
    </row>
    <row r="4195" spans="27:35" ht="18">
      <c r="AA4195" s="116"/>
      <c r="AB4195" s="184"/>
      <c r="AC4195" s="116"/>
      <c r="AD4195" s="116"/>
      <c r="AE4195" s="116"/>
      <c r="AF4195" s="116"/>
      <c r="AG4195" s="116"/>
      <c r="AH4195" s="116"/>
      <c r="AI4195" s="116"/>
    </row>
    <row r="4196" spans="27:35" ht="18">
      <c r="AA4196" s="116"/>
      <c r="AB4196" s="87"/>
      <c r="AC4196" s="116"/>
      <c r="AD4196" s="116"/>
      <c r="AE4196" s="116"/>
      <c r="AF4196" s="116"/>
      <c r="AG4196" s="116"/>
      <c r="AH4196" s="116"/>
      <c r="AI4196" s="116"/>
    </row>
    <row r="4197" spans="27:35" ht="18">
      <c r="AA4197" s="116"/>
      <c r="AB4197" s="87"/>
      <c r="AC4197" s="116"/>
      <c r="AD4197" s="116"/>
      <c r="AE4197" s="116"/>
      <c r="AF4197" s="116"/>
      <c r="AG4197" s="116"/>
      <c r="AH4197" s="116"/>
      <c r="AI4197" s="116"/>
    </row>
    <row r="4198" spans="27:35" ht="18">
      <c r="AA4198" s="116"/>
      <c r="AB4198" s="87"/>
      <c r="AC4198" s="116"/>
      <c r="AD4198" s="116"/>
      <c r="AE4198" s="116"/>
      <c r="AF4198" s="116"/>
      <c r="AG4198" s="116"/>
      <c r="AH4198" s="116"/>
      <c r="AI4198" s="116"/>
    </row>
    <row r="4199" spans="27:35" ht="18">
      <c r="AA4199" s="116"/>
      <c r="AB4199" s="87"/>
      <c r="AC4199" s="116"/>
      <c r="AD4199" s="116"/>
      <c r="AE4199" s="116"/>
      <c r="AF4199" s="116"/>
      <c r="AG4199" s="116"/>
      <c r="AH4199" s="116"/>
      <c r="AI4199" s="116"/>
    </row>
    <row r="4200" spans="27:35" ht="18">
      <c r="AA4200" s="116"/>
      <c r="AB4200" s="87"/>
      <c r="AC4200" s="116"/>
      <c r="AD4200" s="116"/>
      <c r="AE4200" s="116"/>
      <c r="AF4200" s="116"/>
      <c r="AG4200" s="116"/>
      <c r="AH4200" s="116"/>
      <c r="AI4200" s="116"/>
    </row>
    <row r="4201" spans="27:35" ht="18">
      <c r="AA4201" s="116"/>
      <c r="AB4201" s="87"/>
      <c r="AC4201" s="116"/>
      <c r="AD4201" s="116"/>
      <c r="AE4201" s="116"/>
      <c r="AF4201" s="116"/>
      <c r="AG4201" s="116"/>
      <c r="AH4201" s="116"/>
      <c r="AI4201" s="116"/>
    </row>
    <row r="4202" spans="27:35" ht="18">
      <c r="AA4202" s="116"/>
      <c r="AB4202" s="87"/>
      <c r="AC4202" s="116"/>
      <c r="AD4202" s="116"/>
      <c r="AE4202" s="116"/>
      <c r="AF4202" s="116"/>
      <c r="AG4202" s="116"/>
      <c r="AH4202" s="116"/>
      <c r="AI4202" s="116"/>
    </row>
    <row r="4203" spans="27:35" ht="18">
      <c r="AA4203" s="116"/>
      <c r="AB4203" s="87"/>
      <c r="AC4203" s="116"/>
      <c r="AD4203" s="116"/>
      <c r="AE4203" s="116"/>
      <c r="AF4203" s="116"/>
      <c r="AG4203" s="116"/>
      <c r="AH4203" s="116"/>
      <c r="AI4203" s="116"/>
    </row>
    <row r="4204" spans="27:35" ht="18">
      <c r="AA4204" s="116"/>
      <c r="AB4204" s="87"/>
      <c r="AC4204" s="116"/>
      <c r="AD4204" s="116"/>
      <c r="AE4204" s="116"/>
      <c r="AF4204" s="116"/>
      <c r="AG4204" s="116"/>
      <c r="AH4204" s="116"/>
      <c r="AI4204" s="116"/>
    </row>
    <row r="4205" spans="27:35" ht="18">
      <c r="AA4205" s="116"/>
      <c r="AB4205" s="184"/>
      <c r="AC4205" s="116"/>
      <c r="AD4205" s="116"/>
      <c r="AE4205" s="116"/>
      <c r="AF4205" s="116"/>
      <c r="AG4205" s="116"/>
      <c r="AH4205" s="116"/>
      <c r="AI4205" s="116"/>
    </row>
    <row r="4206" spans="27:35" ht="18">
      <c r="AA4206" s="116"/>
      <c r="AB4206" s="184"/>
      <c r="AC4206" s="116"/>
      <c r="AD4206" s="116"/>
      <c r="AE4206" s="116"/>
      <c r="AF4206" s="116"/>
      <c r="AG4206" s="116"/>
      <c r="AH4206" s="116"/>
      <c r="AI4206" s="116"/>
    </row>
    <row r="4207" spans="27:35" ht="18">
      <c r="AA4207" s="116"/>
      <c r="AB4207" s="87"/>
      <c r="AC4207" s="116"/>
      <c r="AD4207" s="116"/>
      <c r="AE4207" s="116"/>
      <c r="AF4207" s="116"/>
      <c r="AG4207" s="116"/>
      <c r="AH4207" s="116"/>
      <c r="AI4207" s="116"/>
    </row>
    <row r="4208" spans="27:35" ht="18">
      <c r="AA4208" s="116"/>
      <c r="AB4208" s="87"/>
      <c r="AC4208" s="116"/>
      <c r="AD4208" s="116"/>
      <c r="AE4208" s="116"/>
      <c r="AF4208" s="116"/>
      <c r="AG4208" s="116"/>
      <c r="AH4208" s="116"/>
      <c r="AI4208" s="116"/>
    </row>
    <row r="4209" spans="27:35" ht="18">
      <c r="AA4209" s="116"/>
      <c r="AB4209" s="87"/>
      <c r="AC4209" s="116"/>
      <c r="AD4209" s="116"/>
      <c r="AE4209" s="116"/>
      <c r="AF4209" s="116"/>
      <c r="AG4209" s="116"/>
      <c r="AH4209" s="116"/>
      <c r="AI4209" s="116"/>
    </row>
    <row r="4210" spans="27:35" ht="18">
      <c r="AA4210" s="116"/>
      <c r="AB4210" s="87"/>
      <c r="AC4210" s="116"/>
      <c r="AD4210" s="116"/>
      <c r="AE4210" s="116"/>
      <c r="AF4210" s="116"/>
      <c r="AG4210" s="116"/>
      <c r="AH4210" s="116"/>
      <c r="AI4210" s="116"/>
    </row>
    <row r="4211" spans="27:35" ht="18">
      <c r="AA4211" s="116"/>
      <c r="AB4211" s="184"/>
      <c r="AC4211" s="116"/>
      <c r="AD4211" s="116"/>
      <c r="AE4211" s="116"/>
      <c r="AF4211" s="116"/>
      <c r="AG4211" s="116"/>
      <c r="AH4211" s="116"/>
      <c r="AI4211" s="116"/>
    </row>
    <row r="4212" spans="27:35" ht="18">
      <c r="AA4212" s="116"/>
      <c r="AB4212" s="184"/>
      <c r="AC4212" s="116"/>
      <c r="AD4212" s="116"/>
      <c r="AE4212" s="116"/>
      <c r="AF4212" s="116"/>
      <c r="AG4212" s="116"/>
      <c r="AH4212" s="116"/>
      <c r="AI4212" s="116"/>
    </row>
    <row r="4213" spans="27:35" ht="18">
      <c r="AA4213" s="116"/>
      <c r="AB4213" s="87"/>
      <c r="AC4213" s="116"/>
      <c r="AD4213" s="116"/>
      <c r="AE4213" s="116"/>
      <c r="AF4213" s="116"/>
      <c r="AG4213" s="116"/>
      <c r="AH4213" s="116"/>
      <c r="AI4213" s="116"/>
    </row>
    <row r="4214" spans="27:35" ht="18">
      <c r="AA4214" s="116"/>
      <c r="AB4214" s="87"/>
      <c r="AC4214" s="116"/>
      <c r="AD4214" s="116"/>
      <c r="AE4214" s="116"/>
      <c r="AF4214" s="116"/>
      <c r="AG4214" s="116"/>
      <c r="AH4214" s="116"/>
      <c r="AI4214" s="116"/>
    </row>
    <row r="4215" spans="27:35" ht="18">
      <c r="AA4215" s="116"/>
      <c r="AB4215" s="87"/>
      <c r="AC4215" s="116"/>
      <c r="AD4215" s="116"/>
      <c r="AE4215" s="116"/>
      <c r="AF4215" s="116"/>
      <c r="AG4215" s="116"/>
      <c r="AH4215" s="116"/>
      <c r="AI4215" s="116"/>
    </row>
    <row r="4216" spans="27:35" ht="18">
      <c r="AA4216" s="116"/>
      <c r="AB4216" s="184"/>
      <c r="AC4216" s="116"/>
      <c r="AD4216" s="116"/>
      <c r="AE4216" s="116"/>
      <c r="AF4216" s="116"/>
      <c r="AG4216" s="116"/>
      <c r="AH4216" s="116"/>
      <c r="AI4216" s="116"/>
    </row>
    <row r="4217" spans="27:35" ht="18">
      <c r="AA4217" s="116"/>
      <c r="AB4217" s="87"/>
      <c r="AC4217" s="116"/>
      <c r="AD4217" s="116"/>
      <c r="AE4217" s="116"/>
      <c r="AF4217" s="116"/>
      <c r="AG4217" s="116"/>
      <c r="AH4217" s="116"/>
      <c r="AI4217" s="116"/>
    </row>
    <row r="4218" spans="27:35" ht="18">
      <c r="AA4218" s="116"/>
      <c r="AB4218" s="87"/>
      <c r="AC4218" s="116"/>
      <c r="AD4218" s="116"/>
      <c r="AE4218" s="116"/>
      <c r="AF4218" s="116"/>
      <c r="AG4218" s="116"/>
      <c r="AH4218" s="116"/>
      <c r="AI4218" s="116"/>
    </row>
    <row r="4219" spans="27:35" ht="18">
      <c r="AA4219" s="116"/>
      <c r="AB4219" s="87"/>
      <c r="AC4219" s="116"/>
      <c r="AD4219" s="116"/>
      <c r="AE4219" s="116"/>
      <c r="AF4219" s="116"/>
      <c r="AG4219" s="116"/>
      <c r="AH4219" s="116"/>
      <c r="AI4219" s="116"/>
    </row>
    <row r="4220" spans="27:35" ht="18">
      <c r="AA4220" s="116"/>
      <c r="AB4220" s="184"/>
      <c r="AC4220" s="116"/>
      <c r="AD4220" s="116"/>
      <c r="AE4220" s="116"/>
      <c r="AF4220" s="116"/>
      <c r="AG4220" s="116"/>
      <c r="AH4220" s="116"/>
      <c r="AI4220" s="116"/>
    </row>
    <row r="4221" spans="27:35" ht="18">
      <c r="AA4221" s="116"/>
      <c r="AB4221" s="184"/>
      <c r="AC4221" s="116"/>
      <c r="AD4221" s="116"/>
      <c r="AE4221" s="116"/>
      <c r="AF4221" s="116"/>
      <c r="AG4221" s="116"/>
      <c r="AH4221" s="116"/>
      <c r="AI4221" s="116"/>
    </row>
    <row r="4222" spans="27:35" ht="18">
      <c r="AA4222" s="116"/>
      <c r="AB4222" s="87"/>
      <c r="AC4222" s="116"/>
      <c r="AD4222" s="116"/>
      <c r="AE4222" s="116"/>
      <c r="AF4222" s="116"/>
      <c r="AG4222" s="116"/>
      <c r="AH4222" s="116"/>
      <c r="AI4222" s="116"/>
    </row>
    <row r="4223" spans="27:35" ht="18">
      <c r="AA4223" s="116"/>
      <c r="AB4223" s="87"/>
      <c r="AC4223" s="116"/>
      <c r="AD4223" s="116"/>
      <c r="AE4223" s="116"/>
      <c r="AF4223" s="116"/>
      <c r="AG4223" s="116"/>
      <c r="AH4223" s="116"/>
      <c r="AI4223" s="116"/>
    </row>
    <row r="4224" spans="27:35" ht="18">
      <c r="AA4224" s="116"/>
      <c r="AB4224" s="87"/>
      <c r="AC4224" s="116"/>
      <c r="AD4224" s="116"/>
      <c r="AE4224" s="116"/>
      <c r="AF4224" s="116"/>
      <c r="AG4224" s="116"/>
      <c r="AH4224" s="116"/>
      <c r="AI4224" s="116"/>
    </row>
    <row r="4225" spans="27:35" ht="18">
      <c r="AA4225" s="116"/>
      <c r="AB4225" s="87"/>
      <c r="AC4225" s="116"/>
      <c r="AD4225" s="116"/>
      <c r="AE4225" s="116"/>
      <c r="AF4225" s="116"/>
      <c r="AG4225" s="116"/>
      <c r="AH4225" s="116"/>
      <c r="AI4225" s="116"/>
    </row>
    <row r="4226" spans="27:35" ht="18">
      <c r="AA4226" s="116"/>
      <c r="AB4226" s="184"/>
      <c r="AC4226" s="116"/>
      <c r="AD4226" s="116"/>
      <c r="AE4226" s="116"/>
      <c r="AF4226" s="116"/>
      <c r="AG4226" s="116"/>
      <c r="AH4226" s="116"/>
      <c r="AI4226" s="116"/>
    </row>
    <row r="4227" spans="27:35" ht="18">
      <c r="AA4227" s="116"/>
      <c r="AB4227" s="184"/>
      <c r="AC4227" s="116"/>
      <c r="AD4227" s="116"/>
      <c r="AE4227" s="116"/>
      <c r="AF4227" s="116"/>
      <c r="AG4227" s="116"/>
      <c r="AH4227" s="116"/>
      <c r="AI4227" s="116"/>
    </row>
    <row r="4228" spans="27:35" ht="18">
      <c r="AA4228" s="116"/>
      <c r="AB4228" s="87"/>
      <c r="AC4228" s="116"/>
      <c r="AD4228" s="116"/>
      <c r="AE4228" s="116"/>
      <c r="AF4228" s="116"/>
      <c r="AG4228" s="116"/>
      <c r="AH4228" s="116"/>
      <c r="AI4228" s="116"/>
    </row>
    <row r="4229" spans="27:35" ht="18">
      <c r="AA4229" s="116"/>
      <c r="AB4229" s="87"/>
      <c r="AC4229" s="116"/>
      <c r="AD4229" s="116"/>
      <c r="AE4229" s="116"/>
      <c r="AF4229" s="116"/>
      <c r="AG4229" s="116"/>
      <c r="AH4229" s="116"/>
      <c r="AI4229" s="116"/>
    </row>
    <row r="4230" spans="27:35" ht="18">
      <c r="AA4230" s="116"/>
      <c r="AB4230" s="87"/>
      <c r="AC4230" s="116"/>
      <c r="AD4230" s="116"/>
      <c r="AE4230" s="116"/>
      <c r="AF4230" s="116"/>
      <c r="AG4230" s="116"/>
      <c r="AH4230" s="116"/>
      <c r="AI4230" s="116"/>
    </row>
    <row r="4231" spans="27:35" ht="18">
      <c r="AA4231" s="116"/>
      <c r="AB4231" s="87"/>
      <c r="AC4231" s="116"/>
      <c r="AD4231" s="116"/>
      <c r="AE4231" s="116"/>
      <c r="AF4231" s="116"/>
      <c r="AG4231" s="116"/>
      <c r="AH4231" s="116"/>
      <c r="AI4231" s="116"/>
    </row>
    <row r="4232" spans="27:35" ht="18">
      <c r="AA4232" s="116"/>
      <c r="AB4232" s="87"/>
      <c r="AC4232" s="116"/>
      <c r="AD4232" s="116"/>
      <c r="AE4232" s="116"/>
      <c r="AF4232" s="116"/>
      <c r="AG4232" s="116"/>
      <c r="AH4232" s="116"/>
      <c r="AI4232" s="116"/>
    </row>
    <row r="4233" spans="27:35" ht="18">
      <c r="AA4233" s="116"/>
      <c r="AB4233" s="184"/>
      <c r="AC4233" s="116"/>
      <c r="AD4233" s="116"/>
      <c r="AE4233" s="116"/>
      <c r="AF4233" s="116"/>
      <c r="AG4233" s="116"/>
      <c r="AH4233" s="116"/>
      <c r="AI4233" s="116"/>
    </row>
    <row r="4234" spans="27:35" ht="18">
      <c r="AA4234" s="116"/>
      <c r="AB4234" s="184"/>
      <c r="AC4234" s="116"/>
      <c r="AD4234" s="116"/>
      <c r="AE4234" s="116"/>
      <c r="AF4234" s="116"/>
      <c r="AG4234" s="116"/>
      <c r="AH4234" s="116"/>
      <c r="AI4234" s="116"/>
    </row>
    <row r="4235" spans="27:35" ht="18">
      <c r="AA4235" s="116"/>
      <c r="AB4235" s="184"/>
      <c r="AC4235" s="116"/>
      <c r="AD4235" s="116"/>
      <c r="AE4235" s="116"/>
      <c r="AF4235" s="116"/>
      <c r="AG4235" s="116"/>
      <c r="AH4235" s="116"/>
      <c r="AI4235" s="116"/>
    </row>
    <row r="4236" spans="27:35" ht="18">
      <c r="AA4236" s="116"/>
      <c r="AB4236" s="87"/>
      <c r="AC4236" s="116"/>
      <c r="AD4236" s="116"/>
      <c r="AE4236" s="116"/>
      <c r="AF4236" s="116"/>
      <c r="AG4236" s="116"/>
      <c r="AH4236" s="116"/>
      <c r="AI4236" s="116"/>
    </row>
    <row r="4237" spans="27:35" ht="18">
      <c r="AA4237" s="116"/>
      <c r="AB4237" s="87"/>
      <c r="AC4237" s="116"/>
      <c r="AD4237" s="116"/>
      <c r="AE4237" s="116"/>
      <c r="AF4237" s="116"/>
      <c r="AG4237" s="116"/>
      <c r="AH4237" s="116"/>
      <c r="AI4237" s="116"/>
    </row>
    <row r="4238" spans="27:35" ht="18">
      <c r="AA4238" s="116"/>
      <c r="AB4238" s="184"/>
      <c r="AC4238" s="116"/>
      <c r="AD4238" s="116"/>
      <c r="AE4238" s="116"/>
      <c r="AF4238" s="116"/>
      <c r="AG4238" s="116"/>
      <c r="AH4238" s="116"/>
      <c r="AI4238" s="116"/>
    </row>
    <row r="4239" spans="27:35" ht="18">
      <c r="AA4239" s="116"/>
      <c r="AB4239" s="87"/>
      <c r="AC4239" s="116"/>
      <c r="AD4239" s="116"/>
      <c r="AE4239" s="116"/>
      <c r="AF4239" s="116"/>
      <c r="AG4239" s="116"/>
      <c r="AH4239" s="116"/>
      <c r="AI4239" s="116"/>
    </row>
    <row r="4240" spans="27:35" ht="18">
      <c r="AA4240" s="116"/>
      <c r="AB4240" s="87"/>
      <c r="AC4240" s="116"/>
      <c r="AD4240" s="116"/>
      <c r="AE4240" s="116"/>
      <c r="AF4240" s="116"/>
      <c r="AG4240" s="116"/>
      <c r="AH4240" s="116"/>
      <c r="AI4240" s="116"/>
    </row>
    <row r="4241" spans="27:35" ht="18">
      <c r="AA4241" s="116"/>
      <c r="AB4241" s="87"/>
      <c r="AC4241" s="116"/>
      <c r="AD4241" s="116"/>
      <c r="AE4241" s="116"/>
      <c r="AF4241" s="116"/>
      <c r="AG4241" s="116"/>
      <c r="AH4241" s="116"/>
      <c r="AI4241" s="116"/>
    </row>
    <row r="4242" spans="27:35" ht="18">
      <c r="AA4242" s="116"/>
      <c r="AB4242" s="87"/>
      <c r="AC4242" s="116"/>
      <c r="AD4242" s="116"/>
      <c r="AE4242" s="116"/>
      <c r="AF4242" s="116"/>
      <c r="AG4242" s="116"/>
      <c r="AH4242" s="116"/>
      <c r="AI4242" s="116"/>
    </row>
    <row r="4243" spans="27:35" ht="18">
      <c r="AA4243" s="116"/>
      <c r="AB4243" s="87"/>
      <c r="AC4243" s="116"/>
      <c r="AD4243" s="116"/>
      <c r="AE4243" s="116"/>
      <c r="AF4243" s="116"/>
      <c r="AG4243" s="116"/>
      <c r="AH4243" s="116"/>
      <c r="AI4243" s="116"/>
    </row>
    <row r="4244" spans="27:35" ht="18">
      <c r="AA4244" s="116"/>
      <c r="AB4244" s="87"/>
      <c r="AC4244" s="116"/>
      <c r="AD4244" s="116"/>
      <c r="AE4244" s="116"/>
      <c r="AF4244" s="116"/>
      <c r="AG4244" s="116"/>
      <c r="AH4244" s="116"/>
      <c r="AI4244" s="116"/>
    </row>
    <row r="4245" spans="27:35" ht="18">
      <c r="AA4245" s="116"/>
      <c r="AB4245" s="87"/>
      <c r="AC4245" s="116"/>
      <c r="AD4245" s="116"/>
      <c r="AE4245" s="116"/>
      <c r="AF4245" s="116"/>
      <c r="AG4245" s="116"/>
      <c r="AH4245" s="116"/>
      <c r="AI4245" s="116"/>
    </row>
    <row r="4246" spans="27:35" ht="18">
      <c r="AA4246" s="116"/>
      <c r="AB4246" s="87"/>
      <c r="AC4246" s="116"/>
      <c r="AD4246" s="116"/>
      <c r="AE4246" s="116"/>
      <c r="AF4246" s="116"/>
      <c r="AG4246" s="116"/>
      <c r="AH4246" s="116"/>
      <c r="AI4246" s="116"/>
    </row>
    <row r="4247" spans="27:35" ht="18">
      <c r="AA4247" s="116"/>
      <c r="AB4247" s="87"/>
      <c r="AC4247" s="116"/>
      <c r="AD4247" s="116"/>
      <c r="AE4247" s="116"/>
      <c r="AF4247" s="116"/>
      <c r="AG4247" s="116"/>
      <c r="AH4247" s="116"/>
      <c r="AI4247" s="116"/>
    </row>
    <row r="4248" spans="27:35" ht="18">
      <c r="AA4248" s="116"/>
      <c r="AB4248" s="87"/>
      <c r="AC4248" s="116"/>
      <c r="AD4248" s="116"/>
      <c r="AE4248" s="116"/>
      <c r="AF4248" s="116"/>
      <c r="AG4248" s="116"/>
      <c r="AH4248" s="116"/>
      <c r="AI4248" s="116"/>
    </row>
    <row r="4249" spans="27:35" ht="18">
      <c r="AA4249" s="116"/>
      <c r="AB4249" s="87"/>
      <c r="AC4249" s="116"/>
      <c r="AD4249" s="116"/>
      <c r="AE4249" s="116"/>
      <c r="AF4249" s="116"/>
      <c r="AG4249" s="116"/>
      <c r="AH4249" s="116"/>
      <c r="AI4249" s="116"/>
    </row>
    <row r="4250" spans="27:35" ht="18">
      <c r="AA4250" s="116"/>
      <c r="AB4250" s="87"/>
      <c r="AC4250" s="116"/>
      <c r="AD4250" s="116"/>
      <c r="AE4250" s="116"/>
      <c r="AF4250" s="116"/>
      <c r="AG4250" s="116"/>
      <c r="AH4250" s="116"/>
      <c r="AI4250" s="116"/>
    </row>
    <row r="4251" spans="27:35" ht="18">
      <c r="AA4251" s="116"/>
      <c r="AB4251" s="87"/>
      <c r="AC4251" s="116"/>
      <c r="AD4251" s="116"/>
      <c r="AE4251" s="116"/>
      <c r="AF4251" s="116"/>
      <c r="AG4251" s="116"/>
      <c r="AH4251" s="116"/>
      <c r="AI4251" s="116"/>
    </row>
    <row r="4252" spans="27:35" ht="18">
      <c r="AA4252" s="116"/>
      <c r="AB4252" s="87"/>
      <c r="AC4252" s="116"/>
      <c r="AD4252" s="116"/>
      <c r="AE4252" s="116"/>
      <c r="AF4252" s="116"/>
      <c r="AG4252" s="116"/>
      <c r="AH4252" s="116"/>
      <c r="AI4252" s="116"/>
    </row>
    <row r="4253" spans="27:35" ht="18">
      <c r="AA4253" s="116"/>
      <c r="AB4253" s="87"/>
      <c r="AC4253" s="116"/>
      <c r="AD4253" s="116"/>
      <c r="AE4253" s="116"/>
      <c r="AF4253" s="116"/>
      <c r="AG4253" s="116"/>
      <c r="AH4253" s="116"/>
      <c r="AI4253" s="116"/>
    </row>
    <row r="4254" spans="27:35" ht="18">
      <c r="AA4254" s="116"/>
      <c r="AB4254" s="87"/>
      <c r="AC4254" s="116"/>
      <c r="AD4254" s="116"/>
      <c r="AE4254" s="116"/>
      <c r="AF4254" s="116"/>
      <c r="AG4254" s="116"/>
      <c r="AH4254" s="116"/>
      <c r="AI4254" s="116"/>
    </row>
    <row r="4255" spans="27:35" ht="18">
      <c r="AA4255" s="116"/>
      <c r="AB4255" s="87"/>
      <c r="AC4255" s="116"/>
      <c r="AD4255" s="116"/>
      <c r="AE4255" s="116"/>
      <c r="AF4255" s="116"/>
      <c r="AG4255" s="116"/>
      <c r="AH4255" s="116"/>
      <c r="AI4255" s="116"/>
    </row>
    <row r="4256" spans="27:35" ht="18">
      <c r="AA4256" s="116"/>
      <c r="AB4256" s="87"/>
      <c r="AC4256" s="116"/>
      <c r="AD4256" s="116"/>
      <c r="AE4256" s="116"/>
      <c r="AF4256" s="116"/>
      <c r="AG4256" s="116"/>
      <c r="AH4256" s="116"/>
      <c r="AI4256" s="116"/>
    </row>
    <row r="4257" spans="27:35" ht="18">
      <c r="AA4257" s="116"/>
      <c r="AB4257" s="87"/>
      <c r="AC4257" s="116"/>
      <c r="AD4257" s="116"/>
      <c r="AE4257" s="116"/>
      <c r="AF4257" s="116"/>
      <c r="AG4257" s="116"/>
      <c r="AH4257" s="116"/>
      <c r="AI4257" s="116"/>
    </row>
    <row r="4258" spans="27:35" ht="18">
      <c r="AA4258" s="116"/>
      <c r="AB4258" s="87"/>
      <c r="AC4258" s="116"/>
      <c r="AD4258" s="116"/>
      <c r="AE4258" s="116"/>
      <c r="AF4258" s="116"/>
      <c r="AG4258" s="116"/>
      <c r="AH4258" s="116"/>
      <c r="AI4258" s="116"/>
    </row>
    <row r="4259" spans="27:35" ht="18">
      <c r="AA4259" s="116"/>
      <c r="AB4259" s="87"/>
      <c r="AC4259" s="116"/>
      <c r="AD4259" s="116"/>
      <c r="AE4259" s="116"/>
      <c r="AF4259" s="116"/>
      <c r="AG4259" s="116"/>
      <c r="AH4259" s="116"/>
      <c r="AI4259" s="116"/>
    </row>
    <row r="4260" spans="27:35" ht="18">
      <c r="AA4260" s="116"/>
      <c r="AB4260" s="87"/>
      <c r="AC4260" s="116"/>
      <c r="AD4260" s="116"/>
      <c r="AE4260" s="116"/>
      <c r="AF4260" s="116"/>
      <c r="AG4260" s="116"/>
      <c r="AH4260" s="116"/>
      <c r="AI4260" s="116"/>
    </row>
    <row r="4261" spans="27:35" ht="18">
      <c r="AA4261" s="116"/>
      <c r="AB4261" s="87"/>
      <c r="AC4261" s="116"/>
      <c r="AD4261" s="116"/>
      <c r="AE4261" s="116"/>
      <c r="AF4261" s="116"/>
      <c r="AG4261" s="116"/>
      <c r="AH4261" s="116"/>
      <c r="AI4261" s="116"/>
    </row>
    <row r="4262" spans="27:35" ht="18">
      <c r="AA4262" s="116"/>
      <c r="AB4262" s="184"/>
      <c r="AC4262" s="116"/>
      <c r="AD4262" s="116"/>
      <c r="AE4262" s="116"/>
      <c r="AF4262" s="116"/>
      <c r="AG4262" s="116"/>
      <c r="AH4262" s="116"/>
      <c r="AI4262" s="116"/>
    </row>
    <row r="4263" spans="27:35" ht="18">
      <c r="AA4263" s="116"/>
      <c r="AB4263" s="87"/>
      <c r="AC4263" s="116"/>
      <c r="AD4263" s="116"/>
      <c r="AE4263" s="116"/>
      <c r="AF4263" s="116"/>
      <c r="AG4263" s="116"/>
      <c r="AH4263" s="116"/>
      <c r="AI4263" s="116"/>
    </row>
    <row r="4264" spans="27:35" ht="18">
      <c r="AA4264" s="116"/>
      <c r="AB4264" s="87"/>
      <c r="AC4264" s="116"/>
      <c r="AD4264" s="116"/>
      <c r="AE4264" s="116"/>
      <c r="AF4264" s="116"/>
      <c r="AG4264" s="116"/>
      <c r="AH4264" s="116"/>
      <c r="AI4264" s="116"/>
    </row>
    <row r="4265" spans="27:35" ht="18">
      <c r="AA4265" s="116"/>
      <c r="AB4265" s="87"/>
      <c r="AC4265" s="116"/>
      <c r="AD4265" s="116"/>
      <c r="AE4265" s="116"/>
      <c r="AF4265" s="116"/>
      <c r="AG4265" s="116"/>
      <c r="AH4265" s="116"/>
      <c r="AI4265" s="116"/>
    </row>
    <row r="4266" spans="27:35" ht="18">
      <c r="AA4266" s="116"/>
      <c r="AB4266" s="184"/>
      <c r="AC4266" s="116"/>
      <c r="AD4266" s="116"/>
      <c r="AE4266" s="116"/>
      <c r="AF4266" s="116"/>
      <c r="AG4266" s="116"/>
      <c r="AH4266" s="116"/>
      <c r="AI4266" s="116"/>
    </row>
    <row r="4267" spans="27:35" ht="18">
      <c r="AA4267" s="116"/>
      <c r="AB4267" s="87"/>
      <c r="AC4267" s="116"/>
      <c r="AD4267" s="116"/>
      <c r="AE4267" s="116"/>
      <c r="AF4267" s="116"/>
      <c r="AG4267" s="116"/>
      <c r="AH4267" s="116"/>
      <c r="AI4267" s="116"/>
    </row>
    <row r="4268" spans="27:35" ht="18">
      <c r="AA4268" s="116"/>
      <c r="AB4268" s="87"/>
      <c r="AC4268" s="116"/>
      <c r="AD4268" s="116"/>
      <c r="AE4268" s="116"/>
      <c r="AF4268" s="116"/>
      <c r="AG4268" s="116"/>
      <c r="AH4268" s="116"/>
      <c r="AI4268" s="116"/>
    </row>
    <row r="4269" spans="27:35" ht="18">
      <c r="AA4269" s="116"/>
      <c r="AB4269" s="87"/>
      <c r="AC4269" s="116"/>
      <c r="AD4269" s="116"/>
      <c r="AE4269" s="116"/>
      <c r="AF4269" s="116"/>
      <c r="AG4269" s="116"/>
      <c r="AH4269" s="116"/>
      <c r="AI4269" s="116"/>
    </row>
    <row r="4270" spans="27:35" ht="18">
      <c r="AA4270" s="116"/>
      <c r="AB4270" s="87"/>
      <c r="AC4270" s="116"/>
      <c r="AD4270" s="116"/>
      <c r="AE4270" s="116"/>
      <c r="AF4270" s="116"/>
      <c r="AG4270" s="116"/>
      <c r="AH4270" s="116"/>
      <c r="AI4270" s="116"/>
    </row>
    <row r="4271" spans="27:35" ht="18">
      <c r="AA4271" s="116"/>
      <c r="AB4271" s="87"/>
      <c r="AC4271" s="116"/>
      <c r="AD4271" s="116"/>
      <c r="AE4271" s="116"/>
      <c r="AF4271" s="116"/>
      <c r="AG4271" s="116"/>
      <c r="AH4271" s="116"/>
      <c r="AI4271" s="116"/>
    </row>
    <row r="4272" spans="27:35" ht="18">
      <c r="AA4272" s="116"/>
      <c r="AB4272" s="87"/>
      <c r="AC4272" s="116"/>
      <c r="AD4272" s="116"/>
      <c r="AE4272" s="116"/>
      <c r="AF4272" s="116"/>
      <c r="AG4272" s="116"/>
      <c r="AH4272" s="116"/>
      <c r="AI4272" s="116"/>
    </row>
    <row r="4273" spans="27:35" ht="18">
      <c r="AA4273" s="116"/>
      <c r="AB4273" s="87"/>
      <c r="AC4273" s="116"/>
      <c r="AD4273" s="116"/>
      <c r="AE4273" s="116"/>
      <c r="AF4273" s="116"/>
      <c r="AG4273" s="116"/>
      <c r="AH4273" s="116"/>
      <c r="AI4273" s="116"/>
    </row>
    <row r="4274" spans="27:35" ht="18">
      <c r="AA4274" s="116"/>
      <c r="AB4274" s="87"/>
      <c r="AC4274" s="116"/>
      <c r="AD4274" s="116"/>
      <c r="AE4274" s="116"/>
      <c r="AF4274" s="116"/>
      <c r="AG4274" s="116"/>
      <c r="AH4274" s="116"/>
      <c r="AI4274" s="116"/>
    </row>
    <row r="4275" spans="27:35" ht="18">
      <c r="AA4275" s="116"/>
      <c r="AB4275" s="87"/>
      <c r="AC4275" s="116"/>
      <c r="AD4275" s="116"/>
      <c r="AE4275" s="116"/>
      <c r="AF4275" s="116"/>
      <c r="AG4275" s="116"/>
      <c r="AH4275" s="116"/>
      <c r="AI4275" s="116"/>
    </row>
    <row r="4276" spans="27:35" ht="18">
      <c r="AA4276" s="116"/>
      <c r="AB4276" s="87"/>
      <c r="AC4276" s="116"/>
      <c r="AD4276" s="116"/>
      <c r="AE4276" s="116"/>
      <c r="AF4276" s="116"/>
      <c r="AG4276" s="116"/>
      <c r="AH4276" s="116"/>
      <c r="AI4276" s="116"/>
    </row>
    <row r="4277" spans="27:35" ht="18">
      <c r="AA4277" s="116"/>
      <c r="AB4277" s="87"/>
      <c r="AC4277" s="116"/>
      <c r="AD4277" s="116"/>
      <c r="AE4277" s="116"/>
      <c r="AF4277" s="116"/>
      <c r="AG4277" s="116"/>
      <c r="AH4277" s="116"/>
      <c r="AI4277" s="116"/>
    </row>
    <row r="4278" spans="27:35" ht="18">
      <c r="AA4278" s="116"/>
      <c r="AB4278" s="87"/>
      <c r="AC4278" s="116"/>
      <c r="AD4278" s="116"/>
      <c r="AE4278" s="116"/>
      <c r="AF4278" s="116"/>
      <c r="AG4278" s="116"/>
      <c r="AH4278" s="116"/>
      <c r="AI4278" s="116"/>
    </row>
    <row r="4279" spans="27:35" ht="18">
      <c r="AA4279" s="116"/>
      <c r="AB4279" s="87"/>
      <c r="AC4279" s="116"/>
      <c r="AD4279" s="116"/>
      <c r="AE4279" s="116"/>
      <c r="AF4279" s="116"/>
      <c r="AG4279" s="116"/>
      <c r="AH4279" s="116"/>
      <c r="AI4279" s="116"/>
    </row>
    <row r="4280" spans="27:35" ht="18">
      <c r="AA4280" s="116"/>
      <c r="AB4280" s="87"/>
      <c r="AC4280" s="116"/>
      <c r="AD4280" s="116"/>
      <c r="AE4280" s="116"/>
      <c r="AF4280" s="116"/>
      <c r="AG4280" s="116"/>
      <c r="AH4280" s="116"/>
      <c r="AI4280" s="116"/>
    </row>
    <row r="4281" spans="27:35" ht="18">
      <c r="AA4281" s="116"/>
      <c r="AB4281" s="87"/>
      <c r="AC4281" s="116"/>
      <c r="AD4281" s="116"/>
      <c r="AE4281" s="116"/>
      <c r="AF4281" s="116"/>
      <c r="AG4281" s="116"/>
      <c r="AH4281" s="116"/>
      <c r="AI4281" s="116"/>
    </row>
    <row r="4282" spans="27:35" ht="18">
      <c r="AA4282" s="116"/>
      <c r="AB4282" s="87"/>
      <c r="AC4282" s="116"/>
      <c r="AD4282" s="116"/>
      <c r="AE4282" s="116"/>
      <c r="AF4282" s="116"/>
      <c r="AG4282" s="116"/>
      <c r="AH4282" s="116"/>
      <c r="AI4282" s="116"/>
    </row>
    <row r="4283" spans="27:35" ht="18">
      <c r="AA4283" s="116"/>
      <c r="AB4283" s="87"/>
      <c r="AC4283" s="116"/>
      <c r="AD4283" s="116"/>
      <c r="AE4283" s="116"/>
      <c r="AF4283" s="116"/>
      <c r="AG4283" s="116"/>
      <c r="AH4283" s="116"/>
      <c r="AI4283" s="116"/>
    </row>
    <row r="4284" spans="27:35" ht="18">
      <c r="AA4284" s="116"/>
      <c r="AB4284" s="87"/>
      <c r="AC4284" s="116"/>
      <c r="AD4284" s="116"/>
      <c r="AE4284" s="116"/>
      <c r="AF4284" s="116"/>
      <c r="AG4284" s="116"/>
      <c r="AH4284" s="116"/>
      <c r="AI4284" s="116"/>
    </row>
    <row r="4285" spans="27:35" ht="18">
      <c r="AA4285" s="116"/>
      <c r="AB4285" s="87"/>
      <c r="AC4285" s="116"/>
      <c r="AD4285" s="116"/>
      <c r="AE4285" s="116"/>
      <c r="AF4285" s="116"/>
      <c r="AG4285" s="116"/>
      <c r="AH4285" s="116"/>
      <c r="AI4285" s="116"/>
    </row>
    <row r="4286" spans="27:35" ht="18">
      <c r="AA4286" s="116"/>
      <c r="AB4286" s="87"/>
      <c r="AC4286" s="116"/>
      <c r="AD4286" s="116"/>
      <c r="AE4286" s="116"/>
      <c r="AF4286" s="116"/>
      <c r="AG4286" s="116"/>
      <c r="AH4286" s="116"/>
      <c r="AI4286" s="116"/>
    </row>
    <row r="4287" spans="27:35" ht="18">
      <c r="AA4287" s="116"/>
      <c r="AB4287" s="87"/>
      <c r="AC4287" s="116"/>
      <c r="AD4287" s="116"/>
      <c r="AE4287" s="116"/>
      <c r="AF4287" s="116"/>
      <c r="AG4287" s="116"/>
      <c r="AH4287" s="116"/>
      <c r="AI4287" s="116"/>
    </row>
    <row r="4288" spans="27:35" ht="18">
      <c r="AA4288" s="116"/>
      <c r="AB4288" s="87"/>
      <c r="AC4288" s="116"/>
      <c r="AD4288" s="116"/>
      <c r="AE4288" s="116"/>
      <c r="AF4288" s="116"/>
      <c r="AG4288" s="116"/>
      <c r="AH4288" s="116"/>
      <c r="AI4288" s="116"/>
    </row>
    <row r="4289" spans="27:35" ht="18">
      <c r="AA4289" s="116"/>
      <c r="AB4289" s="87"/>
      <c r="AC4289" s="116"/>
      <c r="AD4289" s="116"/>
      <c r="AE4289" s="116"/>
      <c r="AF4289" s="116"/>
      <c r="AG4289" s="116"/>
      <c r="AH4289" s="116"/>
      <c r="AI4289" s="116"/>
    </row>
    <row r="4290" spans="27:35" ht="18">
      <c r="AA4290" s="116"/>
      <c r="AB4290" s="87"/>
      <c r="AC4290" s="116"/>
      <c r="AD4290" s="116"/>
      <c r="AE4290" s="116"/>
      <c r="AF4290" s="116"/>
      <c r="AG4290" s="116"/>
      <c r="AH4290" s="116"/>
      <c r="AI4290" s="116"/>
    </row>
    <row r="4291" spans="27:35" ht="18">
      <c r="AA4291" s="116"/>
      <c r="AB4291" s="87"/>
      <c r="AC4291" s="116"/>
      <c r="AD4291" s="116"/>
      <c r="AE4291" s="116"/>
      <c r="AF4291" s="116"/>
      <c r="AG4291" s="116"/>
      <c r="AH4291" s="116"/>
      <c r="AI4291" s="116"/>
    </row>
    <row r="4292" spans="27:35" ht="18">
      <c r="AA4292" s="116"/>
      <c r="AB4292" s="87"/>
      <c r="AC4292" s="116"/>
      <c r="AD4292" s="116"/>
      <c r="AE4292" s="116"/>
      <c r="AF4292" s="116"/>
      <c r="AG4292" s="116"/>
      <c r="AH4292" s="116"/>
      <c r="AI4292" s="116"/>
    </row>
    <row r="4293" spans="27:35" ht="18">
      <c r="AA4293" s="116"/>
      <c r="AB4293" s="87"/>
      <c r="AC4293" s="116"/>
      <c r="AD4293" s="116"/>
      <c r="AE4293" s="116"/>
      <c r="AF4293" s="116"/>
      <c r="AG4293" s="116"/>
      <c r="AH4293" s="116"/>
      <c r="AI4293" s="116"/>
    </row>
    <row r="4294" spans="27:35" ht="18">
      <c r="AA4294" s="116"/>
      <c r="AB4294" s="87"/>
      <c r="AC4294" s="116"/>
      <c r="AD4294" s="116"/>
      <c r="AE4294" s="116"/>
      <c r="AF4294" s="116"/>
      <c r="AG4294" s="116"/>
      <c r="AH4294" s="116"/>
      <c r="AI4294" s="116"/>
    </row>
    <row r="4295" spans="27:35" ht="18">
      <c r="AA4295" s="116"/>
      <c r="AB4295" s="87"/>
      <c r="AC4295" s="116"/>
      <c r="AD4295" s="116"/>
      <c r="AE4295" s="116"/>
      <c r="AF4295" s="116"/>
      <c r="AG4295" s="116"/>
      <c r="AH4295" s="116"/>
      <c r="AI4295" s="116"/>
    </row>
    <row r="4296" spans="27:35" ht="18">
      <c r="AA4296" s="116"/>
      <c r="AB4296" s="87"/>
      <c r="AC4296" s="116"/>
      <c r="AD4296" s="116"/>
      <c r="AE4296" s="116"/>
      <c r="AF4296" s="116"/>
      <c r="AG4296" s="116"/>
      <c r="AH4296" s="116"/>
      <c r="AI4296" s="116"/>
    </row>
    <row r="4297" spans="27:35" ht="18">
      <c r="AA4297" s="116"/>
      <c r="AB4297" s="87"/>
      <c r="AC4297" s="116"/>
      <c r="AD4297" s="116"/>
      <c r="AE4297" s="116"/>
      <c r="AF4297" s="116"/>
      <c r="AG4297" s="116"/>
      <c r="AH4297" s="116"/>
      <c r="AI4297" s="116"/>
    </row>
    <row r="4298" spans="27:35" ht="18">
      <c r="AA4298" s="116"/>
      <c r="AB4298" s="87"/>
      <c r="AC4298" s="116"/>
      <c r="AD4298" s="116"/>
      <c r="AE4298" s="116"/>
      <c r="AF4298" s="116"/>
      <c r="AG4298" s="116"/>
      <c r="AH4298" s="116"/>
      <c r="AI4298" s="116"/>
    </row>
    <row r="4299" spans="27:35" ht="18">
      <c r="AA4299" s="116"/>
      <c r="AB4299" s="184"/>
      <c r="AC4299" s="116"/>
      <c r="AD4299" s="116"/>
      <c r="AE4299" s="116"/>
      <c r="AF4299" s="116"/>
      <c r="AG4299" s="116"/>
      <c r="AH4299" s="116"/>
      <c r="AI4299" s="116"/>
    </row>
    <row r="4300" spans="27:35" ht="18">
      <c r="AA4300" s="116"/>
      <c r="AB4300" s="87"/>
      <c r="AC4300" s="116"/>
      <c r="AD4300" s="116"/>
      <c r="AE4300" s="116"/>
      <c r="AF4300" s="116"/>
      <c r="AG4300" s="116"/>
      <c r="AH4300" s="116"/>
      <c r="AI4300" s="116"/>
    </row>
    <row r="4301" spans="27:35" ht="18">
      <c r="AA4301" s="116"/>
      <c r="AB4301" s="87"/>
      <c r="AC4301" s="116"/>
      <c r="AD4301" s="116"/>
      <c r="AE4301" s="116"/>
      <c r="AF4301" s="116"/>
      <c r="AG4301" s="116"/>
      <c r="AH4301" s="116"/>
      <c r="AI4301" s="116"/>
    </row>
    <row r="4302" spans="27:35" ht="18">
      <c r="AA4302" s="116"/>
      <c r="AB4302" s="87"/>
      <c r="AC4302" s="116"/>
      <c r="AD4302" s="116"/>
      <c r="AE4302" s="116"/>
      <c r="AF4302" s="116"/>
      <c r="AG4302" s="116"/>
      <c r="AH4302" s="116"/>
      <c r="AI4302" s="116"/>
    </row>
    <row r="4303" spans="27:35" ht="18">
      <c r="AA4303" s="116"/>
      <c r="AB4303" s="184"/>
      <c r="AC4303" s="116"/>
      <c r="AD4303" s="116"/>
      <c r="AE4303" s="116"/>
      <c r="AF4303" s="116"/>
      <c r="AG4303" s="116"/>
      <c r="AH4303" s="116"/>
      <c r="AI4303" s="116"/>
    </row>
    <row r="4304" spans="27:35" ht="18">
      <c r="AA4304" s="116"/>
      <c r="AB4304" s="87"/>
      <c r="AC4304" s="116"/>
      <c r="AD4304" s="116"/>
      <c r="AE4304" s="116"/>
      <c r="AF4304" s="116"/>
      <c r="AG4304" s="116"/>
      <c r="AH4304" s="116"/>
      <c r="AI4304" s="116"/>
    </row>
    <row r="4305" spans="27:35" ht="18">
      <c r="AA4305" s="116"/>
      <c r="AB4305" s="87"/>
      <c r="AC4305" s="116"/>
      <c r="AD4305" s="116"/>
      <c r="AE4305" s="116"/>
      <c r="AF4305" s="116"/>
      <c r="AG4305" s="116"/>
      <c r="AH4305" s="116"/>
      <c r="AI4305" s="116"/>
    </row>
    <row r="4306" spans="27:35" ht="18">
      <c r="AA4306" s="116"/>
      <c r="AB4306" s="87"/>
      <c r="AC4306" s="116"/>
      <c r="AD4306" s="116"/>
      <c r="AE4306" s="116"/>
      <c r="AF4306" s="116"/>
      <c r="AG4306" s="116"/>
      <c r="AH4306" s="116"/>
      <c r="AI4306" s="116"/>
    </row>
    <row r="4307" spans="27:35" ht="18">
      <c r="AA4307" s="116"/>
      <c r="AB4307" s="87"/>
      <c r="AC4307" s="116"/>
      <c r="AD4307" s="116"/>
      <c r="AE4307" s="116"/>
      <c r="AF4307" s="116"/>
      <c r="AG4307" s="116"/>
      <c r="AH4307" s="116"/>
      <c r="AI4307" s="116"/>
    </row>
    <row r="4308" spans="27:35" ht="18">
      <c r="AA4308" s="116"/>
      <c r="AB4308" s="87"/>
      <c r="AC4308" s="116"/>
      <c r="AD4308" s="116"/>
      <c r="AE4308" s="116"/>
      <c r="AF4308" s="116"/>
      <c r="AG4308" s="116"/>
      <c r="AH4308" s="116"/>
      <c r="AI4308" s="116"/>
    </row>
    <row r="4309" spans="27:35" ht="18">
      <c r="AA4309" s="116"/>
      <c r="AB4309" s="184"/>
      <c r="AC4309" s="116"/>
      <c r="AD4309" s="116"/>
      <c r="AE4309" s="116"/>
      <c r="AF4309" s="116"/>
      <c r="AG4309" s="116"/>
      <c r="AH4309" s="116"/>
      <c r="AI4309" s="116"/>
    </row>
    <row r="4310" spans="27:35" ht="18">
      <c r="AA4310" s="116"/>
      <c r="AB4310" s="87"/>
      <c r="AC4310" s="116"/>
      <c r="AD4310" s="116"/>
      <c r="AE4310" s="116"/>
      <c r="AF4310" s="116"/>
      <c r="AG4310" s="116"/>
      <c r="AH4310" s="116"/>
      <c r="AI4310" s="116"/>
    </row>
    <row r="4311" spans="27:35" ht="18">
      <c r="AA4311" s="116"/>
      <c r="AB4311" s="87"/>
      <c r="AC4311" s="116"/>
      <c r="AD4311" s="116"/>
      <c r="AE4311" s="116"/>
      <c r="AF4311" s="116"/>
      <c r="AG4311" s="116"/>
      <c r="AH4311" s="116"/>
      <c r="AI4311" s="116"/>
    </row>
    <row r="4312" spans="27:35" ht="18">
      <c r="AA4312" s="116"/>
      <c r="AB4312" s="87"/>
      <c r="AC4312" s="116"/>
      <c r="AD4312" s="116"/>
      <c r="AE4312" s="116"/>
      <c r="AF4312" s="116"/>
      <c r="AG4312" s="116"/>
      <c r="AH4312" s="116"/>
      <c r="AI4312" s="116"/>
    </row>
    <row r="4313" spans="27:35" ht="18">
      <c r="AA4313" s="116"/>
      <c r="AB4313" s="184"/>
      <c r="AC4313" s="116"/>
      <c r="AD4313" s="116"/>
      <c r="AE4313" s="116"/>
      <c r="AF4313" s="116"/>
      <c r="AG4313" s="116"/>
      <c r="AH4313" s="116"/>
      <c r="AI4313" s="116"/>
    </row>
    <row r="4314" spans="27:35" ht="18">
      <c r="AA4314" s="116"/>
      <c r="AB4314" s="87"/>
      <c r="AC4314" s="116"/>
      <c r="AD4314" s="116"/>
      <c r="AE4314" s="116"/>
      <c r="AF4314" s="116"/>
      <c r="AG4314" s="116"/>
      <c r="AH4314" s="116"/>
      <c r="AI4314" s="116"/>
    </row>
    <row r="4315" spans="27:35" ht="18">
      <c r="AA4315" s="116"/>
      <c r="AB4315" s="87"/>
      <c r="AC4315" s="116"/>
      <c r="AD4315" s="116"/>
      <c r="AE4315" s="116"/>
      <c r="AF4315" s="116"/>
      <c r="AG4315" s="116"/>
      <c r="AH4315" s="116"/>
      <c r="AI4315" s="116"/>
    </row>
    <row r="4316" spans="27:35" ht="18">
      <c r="AA4316" s="116"/>
      <c r="AB4316" s="87"/>
      <c r="AC4316" s="116"/>
      <c r="AD4316" s="116"/>
      <c r="AE4316" s="116"/>
      <c r="AF4316" s="116"/>
      <c r="AG4316" s="116"/>
      <c r="AH4316" s="116"/>
      <c r="AI4316" s="116"/>
    </row>
    <row r="4317" spans="27:35" ht="18">
      <c r="AA4317" s="116"/>
      <c r="AB4317" s="184"/>
      <c r="AC4317" s="116"/>
      <c r="AD4317" s="116"/>
      <c r="AE4317" s="116"/>
      <c r="AF4317" s="116"/>
      <c r="AG4317" s="116"/>
      <c r="AH4317" s="116"/>
      <c r="AI4317" s="116"/>
    </row>
    <row r="4318" spans="27:35" ht="18">
      <c r="AA4318" s="116"/>
      <c r="AB4318" s="87"/>
      <c r="AC4318" s="116"/>
      <c r="AD4318" s="116"/>
      <c r="AE4318" s="116"/>
      <c r="AF4318" s="116"/>
      <c r="AG4318" s="116"/>
      <c r="AH4318" s="116"/>
      <c r="AI4318" s="116"/>
    </row>
    <row r="4319" spans="27:35" ht="18">
      <c r="AA4319" s="116"/>
      <c r="AB4319" s="87"/>
      <c r="AC4319" s="116"/>
      <c r="AD4319" s="116"/>
      <c r="AE4319" s="116"/>
      <c r="AF4319" s="116"/>
      <c r="AG4319" s="116"/>
      <c r="AH4319" s="116"/>
      <c r="AI4319" s="116"/>
    </row>
    <row r="4320" spans="27:35" ht="18">
      <c r="AA4320" s="116"/>
      <c r="AB4320" s="87"/>
      <c r="AC4320" s="116"/>
      <c r="AD4320" s="116"/>
      <c r="AE4320" s="116"/>
      <c r="AF4320" s="116"/>
      <c r="AG4320" s="116"/>
      <c r="AH4320" s="116"/>
      <c r="AI4320" s="116"/>
    </row>
    <row r="4321" spans="27:35" ht="18">
      <c r="AA4321" s="116"/>
      <c r="AB4321" s="87"/>
      <c r="AC4321" s="116"/>
      <c r="AD4321" s="116"/>
      <c r="AE4321" s="116"/>
      <c r="AF4321" s="116"/>
      <c r="AG4321" s="116"/>
      <c r="AH4321" s="116"/>
      <c r="AI4321" s="116"/>
    </row>
    <row r="4322" spans="27:35" ht="18">
      <c r="AA4322" s="116"/>
      <c r="AB4322" s="87"/>
      <c r="AC4322" s="116"/>
      <c r="AD4322" s="116"/>
      <c r="AE4322" s="116"/>
      <c r="AF4322" s="116"/>
      <c r="AG4322" s="116"/>
      <c r="AH4322" s="116"/>
      <c r="AI4322" s="116"/>
    </row>
    <row r="4323" spans="27:35" ht="18">
      <c r="AA4323" s="116"/>
      <c r="AB4323" s="87"/>
      <c r="AC4323" s="116"/>
      <c r="AD4323" s="116"/>
      <c r="AE4323" s="116"/>
      <c r="AF4323" s="116"/>
      <c r="AG4323" s="116"/>
      <c r="AH4323" s="116"/>
      <c r="AI4323" s="116"/>
    </row>
    <row r="4324" spans="27:35" ht="18">
      <c r="AA4324" s="116"/>
      <c r="AB4324" s="87"/>
      <c r="AC4324" s="116"/>
      <c r="AD4324" s="116"/>
      <c r="AE4324" s="116"/>
      <c r="AF4324" s="116"/>
      <c r="AG4324" s="116"/>
      <c r="AH4324" s="116"/>
      <c r="AI4324" s="116"/>
    </row>
    <row r="4325" spans="27:35" ht="18">
      <c r="AA4325" s="116"/>
      <c r="AB4325" s="87"/>
      <c r="AC4325" s="116"/>
      <c r="AD4325" s="116"/>
      <c r="AE4325" s="116"/>
      <c r="AF4325" s="116"/>
      <c r="AG4325" s="116"/>
      <c r="AH4325" s="116"/>
      <c r="AI4325" s="116"/>
    </row>
    <row r="4326" spans="27:35" ht="18">
      <c r="AA4326" s="116"/>
      <c r="AB4326" s="87"/>
      <c r="AC4326" s="116"/>
      <c r="AD4326" s="116"/>
      <c r="AE4326" s="116"/>
      <c r="AF4326" s="116"/>
      <c r="AG4326" s="116"/>
      <c r="AH4326" s="116"/>
      <c r="AI4326" s="116"/>
    </row>
    <row r="4327" spans="27:35" ht="18">
      <c r="AA4327" s="116"/>
      <c r="AB4327" s="87"/>
      <c r="AC4327" s="116"/>
      <c r="AD4327" s="116"/>
      <c r="AE4327" s="116"/>
      <c r="AF4327" s="116"/>
      <c r="AG4327" s="116"/>
      <c r="AH4327" s="116"/>
      <c r="AI4327" s="116"/>
    </row>
    <row r="4328" spans="27:35" ht="18">
      <c r="AA4328" s="116"/>
      <c r="AB4328" s="87"/>
      <c r="AC4328" s="116"/>
      <c r="AD4328" s="116"/>
      <c r="AE4328" s="116"/>
      <c r="AF4328" s="116"/>
      <c r="AG4328" s="116"/>
      <c r="AH4328" s="116"/>
      <c r="AI4328" s="116"/>
    </row>
    <row r="4329" spans="27:35" ht="18">
      <c r="AA4329" s="116"/>
      <c r="AB4329" s="87"/>
      <c r="AC4329" s="116"/>
      <c r="AD4329" s="116"/>
      <c r="AE4329" s="116"/>
      <c r="AF4329" s="116"/>
      <c r="AG4329" s="116"/>
      <c r="AH4329" s="116"/>
      <c r="AI4329" s="116"/>
    </row>
    <row r="4330" spans="27:35" ht="18">
      <c r="AA4330" s="116"/>
      <c r="AB4330" s="87"/>
      <c r="AC4330" s="116"/>
      <c r="AD4330" s="116"/>
      <c r="AE4330" s="116"/>
      <c r="AF4330" s="116"/>
      <c r="AG4330" s="116"/>
      <c r="AH4330" s="116"/>
      <c r="AI4330" s="116"/>
    </row>
    <row r="4331" spans="27:35" ht="18">
      <c r="AA4331" s="116"/>
      <c r="AB4331" s="87"/>
      <c r="AC4331" s="116"/>
      <c r="AD4331" s="116"/>
      <c r="AE4331" s="116"/>
      <c r="AF4331" s="116"/>
      <c r="AG4331" s="116"/>
      <c r="AH4331" s="116"/>
      <c r="AI4331" s="116"/>
    </row>
    <row r="4332" spans="27:35" ht="18">
      <c r="AA4332" s="116"/>
      <c r="AB4332" s="87"/>
      <c r="AC4332" s="116"/>
      <c r="AD4332" s="116"/>
      <c r="AE4332" s="116"/>
      <c r="AF4332" s="116"/>
      <c r="AG4332" s="116"/>
      <c r="AH4332" s="116"/>
      <c r="AI4332" s="116"/>
    </row>
    <row r="4333" spans="27:35" ht="18">
      <c r="AA4333" s="116"/>
      <c r="AB4333" s="87"/>
      <c r="AC4333" s="116"/>
      <c r="AD4333" s="116"/>
      <c r="AE4333" s="116"/>
      <c r="AF4333" s="116"/>
      <c r="AG4333" s="116"/>
      <c r="AH4333" s="116"/>
      <c r="AI4333" s="116"/>
    </row>
    <row r="4334" spans="27:35" ht="18">
      <c r="AA4334" s="116"/>
      <c r="AB4334" s="184"/>
      <c r="AC4334" s="116"/>
      <c r="AD4334" s="116"/>
      <c r="AE4334" s="116"/>
      <c r="AF4334" s="116"/>
      <c r="AG4334" s="116"/>
      <c r="AH4334" s="116"/>
      <c r="AI4334" s="116"/>
    </row>
    <row r="4335" spans="27:35" ht="18">
      <c r="AA4335" s="116"/>
      <c r="AB4335" s="184"/>
      <c r="AC4335" s="116"/>
      <c r="AD4335" s="116"/>
      <c r="AE4335" s="116"/>
      <c r="AF4335" s="116"/>
      <c r="AG4335" s="116"/>
      <c r="AH4335" s="116"/>
      <c r="AI4335" s="116"/>
    </row>
    <row r="4336" spans="27:35" ht="18">
      <c r="AA4336" s="116"/>
      <c r="AB4336" s="87"/>
      <c r="AC4336" s="116"/>
      <c r="AD4336" s="116"/>
      <c r="AE4336" s="116"/>
      <c r="AF4336" s="116"/>
      <c r="AG4336" s="116"/>
      <c r="AH4336" s="116"/>
      <c r="AI4336" s="116"/>
    </row>
    <row r="4337" spans="27:35" ht="18">
      <c r="AA4337" s="116"/>
      <c r="AB4337" s="87"/>
      <c r="AC4337" s="116"/>
      <c r="AD4337" s="116"/>
      <c r="AE4337" s="116"/>
      <c r="AF4337" s="116"/>
      <c r="AG4337" s="116"/>
      <c r="AH4337" s="116"/>
      <c r="AI4337" s="116"/>
    </row>
    <row r="4338" spans="27:35" ht="18">
      <c r="AA4338" s="116"/>
      <c r="AB4338" s="87"/>
      <c r="AC4338" s="116"/>
      <c r="AD4338" s="116"/>
      <c r="AE4338" s="116"/>
      <c r="AF4338" s="116"/>
      <c r="AG4338" s="116"/>
      <c r="AH4338" s="116"/>
      <c r="AI4338" s="116"/>
    </row>
    <row r="4339" spans="27:35" ht="18">
      <c r="AA4339" s="116"/>
      <c r="AB4339" s="87"/>
      <c r="AC4339" s="116"/>
      <c r="AD4339" s="116"/>
      <c r="AE4339" s="116"/>
      <c r="AF4339" s="116"/>
      <c r="AG4339" s="116"/>
      <c r="AH4339" s="116"/>
      <c r="AI4339" s="116"/>
    </row>
    <row r="4340" spans="27:35" ht="18">
      <c r="AA4340" s="116"/>
      <c r="AB4340" s="184"/>
      <c r="AC4340" s="116"/>
      <c r="AD4340" s="116"/>
      <c r="AE4340" s="116"/>
      <c r="AF4340" s="116"/>
      <c r="AG4340" s="116"/>
      <c r="AH4340" s="116"/>
      <c r="AI4340" s="116"/>
    </row>
    <row r="4341" spans="27:35" ht="18">
      <c r="AA4341" s="116"/>
      <c r="AB4341" s="184"/>
      <c r="AC4341" s="116"/>
      <c r="AD4341" s="116"/>
      <c r="AE4341" s="116"/>
      <c r="AF4341" s="116"/>
      <c r="AG4341" s="116"/>
      <c r="AH4341" s="116"/>
      <c r="AI4341" s="116"/>
    </row>
    <row r="4342" spans="27:35" ht="18">
      <c r="AA4342" s="116"/>
      <c r="AB4342" s="184"/>
      <c r="AC4342" s="116"/>
      <c r="AD4342" s="116"/>
      <c r="AE4342" s="116"/>
      <c r="AF4342" s="116"/>
      <c r="AG4342" s="116"/>
      <c r="AH4342" s="116"/>
      <c r="AI4342" s="116"/>
    </row>
    <row r="4343" spans="27:35" ht="18">
      <c r="AA4343" s="116"/>
      <c r="AB4343" s="87"/>
      <c r="AC4343" s="116"/>
      <c r="AD4343" s="116"/>
      <c r="AE4343" s="116"/>
      <c r="AF4343" s="116"/>
      <c r="AG4343" s="116"/>
      <c r="AH4343" s="116"/>
      <c r="AI4343" s="116"/>
    </row>
    <row r="4344" spans="27:35" ht="18">
      <c r="AA4344" s="116"/>
      <c r="AB4344" s="87"/>
      <c r="AC4344" s="116"/>
      <c r="AD4344" s="116"/>
      <c r="AE4344" s="116"/>
      <c r="AF4344" s="116"/>
      <c r="AG4344" s="116"/>
      <c r="AH4344" s="116"/>
      <c r="AI4344" s="116"/>
    </row>
    <row r="4345" spans="27:35" ht="18">
      <c r="AA4345" s="116"/>
      <c r="AB4345" s="87"/>
      <c r="AC4345" s="116"/>
      <c r="AD4345" s="116"/>
      <c r="AE4345" s="116"/>
      <c r="AF4345" s="116"/>
      <c r="AG4345" s="116"/>
      <c r="AH4345" s="116"/>
      <c r="AI4345" s="116"/>
    </row>
    <row r="4346" spans="27:35" ht="18">
      <c r="AA4346" s="116"/>
      <c r="AB4346" s="184"/>
      <c r="AC4346" s="116"/>
      <c r="AD4346" s="116"/>
      <c r="AE4346" s="116"/>
      <c r="AF4346" s="116"/>
      <c r="AG4346" s="116"/>
      <c r="AH4346" s="116"/>
      <c r="AI4346" s="116"/>
    </row>
    <row r="4347" spans="27:35" ht="18">
      <c r="AA4347" s="116"/>
      <c r="AB4347" s="87"/>
      <c r="AC4347" s="116"/>
      <c r="AD4347" s="116"/>
      <c r="AE4347" s="116"/>
      <c r="AF4347" s="116"/>
      <c r="AG4347" s="116"/>
      <c r="AH4347" s="116"/>
      <c r="AI4347" s="116"/>
    </row>
    <row r="4348" spans="27:35" ht="18">
      <c r="AA4348" s="116"/>
      <c r="AB4348" s="87"/>
      <c r="AC4348" s="116"/>
      <c r="AD4348" s="116"/>
      <c r="AE4348" s="116"/>
      <c r="AF4348" s="116"/>
      <c r="AG4348" s="116"/>
      <c r="AH4348" s="116"/>
      <c r="AI4348" s="116"/>
    </row>
    <row r="4349" spans="27:35" ht="18">
      <c r="AA4349" s="116"/>
      <c r="AB4349" s="87"/>
      <c r="AC4349" s="116"/>
      <c r="AD4349" s="116"/>
      <c r="AE4349" s="116"/>
      <c r="AF4349" s="116"/>
      <c r="AG4349" s="116"/>
      <c r="AH4349" s="116"/>
      <c r="AI4349" s="116"/>
    </row>
    <row r="4350" spans="27:35" ht="18">
      <c r="AA4350" s="116"/>
      <c r="AB4350" s="87"/>
      <c r="AC4350" s="116"/>
      <c r="AD4350" s="116"/>
      <c r="AE4350" s="116"/>
      <c r="AF4350" s="116"/>
      <c r="AG4350" s="116"/>
      <c r="AH4350" s="116"/>
      <c r="AI4350" s="116"/>
    </row>
    <row r="4351" spans="27:35" ht="18">
      <c r="AA4351" s="116"/>
      <c r="AB4351" s="87"/>
      <c r="AC4351" s="116"/>
      <c r="AD4351" s="116"/>
      <c r="AE4351" s="116"/>
      <c r="AF4351" s="116"/>
      <c r="AG4351" s="116"/>
      <c r="AH4351" s="116"/>
      <c r="AI4351" s="116"/>
    </row>
    <row r="4352" spans="27:35" ht="18">
      <c r="AA4352" s="116"/>
      <c r="AB4352" s="87"/>
      <c r="AC4352" s="116"/>
      <c r="AD4352" s="116"/>
      <c r="AE4352" s="116"/>
      <c r="AF4352" s="116"/>
      <c r="AG4352" s="116"/>
      <c r="AH4352" s="116"/>
      <c r="AI4352" s="116"/>
    </row>
    <row r="4353" spans="27:35" ht="18">
      <c r="AA4353" s="116"/>
      <c r="AB4353" s="87"/>
      <c r="AC4353" s="116"/>
      <c r="AD4353" s="116"/>
      <c r="AE4353" s="116"/>
      <c r="AF4353" s="116"/>
      <c r="AG4353" s="116"/>
      <c r="AH4353" s="116"/>
      <c r="AI4353" s="116"/>
    </row>
    <row r="4354" spans="27:35" ht="18">
      <c r="AA4354" s="116"/>
      <c r="AB4354" s="87"/>
      <c r="AC4354" s="116"/>
      <c r="AD4354" s="116"/>
      <c r="AE4354" s="116"/>
      <c r="AF4354" s="116"/>
      <c r="AG4354" s="116"/>
      <c r="AH4354" s="116"/>
      <c r="AI4354" s="116"/>
    </row>
    <row r="4355" spans="27:35" ht="18">
      <c r="AA4355" s="116"/>
      <c r="AB4355" s="87"/>
      <c r="AC4355" s="116"/>
      <c r="AD4355" s="116"/>
      <c r="AE4355" s="116"/>
      <c r="AF4355" s="116"/>
      <c r="AG4355" s="116"/>
      <c r="AH4355" s="116"/>
      <c r="AI4355" s="116"/>
    </row>
    <row r="4356" spans="27:35" ht="18">
      <c r="AA4356" s="116"/>
      <c r="AB4356" s="87"/>
      <c r="AC4356" s="116"/>
      <c r="AD4356" s="116"/>
      <c r="AE4356" s="116"/>
      <c r="AF4356" s="116"/>
      <c r="AG4356" s="116"/>
      <c r="AH4356" s="116"/>
      <c r="AI4356" s="116"/>
    </row>
    <row r="4357" spans="27:35" ht="18">
      <c r="AA4357" s="116"/>
      <c r="AB4357" s="87"/>
      <c r="AC4357" s="116"/>
      <c r="AD4357" s="116"/>
      <c r="AE4357" s="116"/>
      <c r="AF4357" s="116"/>
      <c r="AG4357" s="116"/>
      <c r="AH4357" s="116"/>
      <c r="AI4357" s="116"/>
    </row>
    <row r="4358" spans="27:35" ht="18">
      <c r="AA4358" s="116"/>
      <c r="AB4358" s="87"/>
      <c r="AC4358" s="116"/>
      <c r="AD4358" s="116"/>
      <c r="AE4358" s="116"/>
      <c r="AF4358" s="116"/>
      <c r="AG4358" s="116"/>
      <c r="AH4358" s="116"/>
      <c r="AI4358" s="116"/>
    </row>
    <row r="4359" spans="27:35" ht="18">
      <c r="AA4359" s="116"/>
      <c r="AB4359" s="87"/>
      <c r="AC4359" s="116"/>
      <c r="AD4359" s="116"/>
      <c r="AE4359" s="116"/>
      <c r="AF4359" s="116"/>
      <c r="AG4359" s="116"/>
      <c r="AH4359" s="116"/>
      <c r="AI4359" s="116"/>
    </row>
    <row r="4360" spans="27:35" ht="18">
      <c r="AA4360" s="116"/>
      <c r="AB4360" s="87"/>
      <c r="AC4360" s="116"/>
      <c r="AD4360" s="116"/>
      <c r="AE4360" s="116"/>
      <c r="AF4360" s="116"/>
      <c r="AG4360" s="116"/>
      <c r="AH4360" s="116"/>
      <c r="AI4360" s="116"/>
    </row>
    <row r="4361" spans="27:35" ht="18">
      <c r="AA4361" s="116"/>
      <c r="AB4361" s="87"/>
      <c r="AC4361" s="116"/>
      <c r="AD4361" s="116"/>
      <c r="AE4361" s="116"/>
      <c r="AF4361" s="116"/>
      <c r="AG4361" s="116"/>
      <c r="AH4361" s="116"/>
      <c r="AI4361" s="116"/>
    </row>
    <row r="4362" spans="27:35" ht="18">
      <c r="AA4362" s="116"/>
      <c r="AB4362" s="87"/>
      <c r="AC4362" s="116"/>
      <c r="AD4362" s="116"/>
      <c r="AE4362" s="116"/>
      <c r="AF4362" s="116"/>
      <c r="AG4362" s="116"/>
      <c r="AH4362" s="116"/>
      <c r="AI4362" s="116"/>
    </row>
    <row r="4363" spans="27:35" ht="18">
      <c r="AA4363" s="116"/>
      <c r="AB4363" s="87"/>
      <c r="AC4363" s="116"/>
      <c r="AD4363" s="116"/>
      <c r="AE4363" s="116"/>
      <c r="AF4363" s="116"/>
      <c r="AG4363" s="116"/>
      <c r="AH4363" s="116"/>
      <c r="AI4363" s="116"/>
    </row>
    <row r="4364" spans="27:35" ht="18">
      <c r="AA4364" s="116"/>
      <c r="AB4364" s="87"/>
      <c r="AC4364" s="116"/>
      <c r="AD4364" s="116"/>
      <c r="AE4364" s="116"/>
      <c r="AF4364" s="116"/>
      <c r="AG4364" s="116"/>
      <c r="AH4364" s="116"/>
      <c r="AI4364" s="116"/>
    </row>
    <row r="4365" spans="27:35" ht="18">
      <c r="AA4365" s="116"/>
      <c r="AB4365" s="87"/>
      <c r="AC4365" s="116"/>
      <c r="AD4365" s="116"/>
      <c r="AE4365" s="116"/>
      <c r="AF4365" s="116"/>
      <c r="AG4365" s="116"/>
      <c r="AH4365" s="116"/>
      <c r="AI4365" s="116"/>
    </row>
    <row r="4366" spans="27:35" ht="18">
      <c r="AA4366" s="116"/>
      <c r="AB4366" s="87"/>
      <c r="AC4366" s="116"/>
      <c r="AD4366" s="116"/>
      <c r="AE4366" s="116"/>
      <c r="AF4366" s="116"/>
      <c r="AG4366" s="116"/>
      <c r="AH4366" s="116"/>
      <c r="AI4366" s="116"/>
    </row>
    <row r="4367" spans="27:35" ht="18">
      <c r="AA4367" s="116"/>
      <c r="AB4367" s="184"/>
      <c r="AC4367" s="116"/>
      <c r="AD4367" s="116"/>
      <c r="AE4367" s="116"/>
      <c r="AF4367" s="116"/>
      <c r="AG4367" s="116"/>
      <c r="AH4367" s="116"/>
      <c r="AI4367" s="116"/>
    </row>
    <row r="4368" spans="27:35" ht="18">
      <c r="AA4368" s="116"/>
      <c r="AB4368" s="87"/>
      <c r="AC4368" s="116"/>
      <c r="AD4368" s="116"/>
      <c r="AE4368" s="116"/>
      <c r="AF4368" s="116"/>
      <c r="AG4368" s="116"/>
      <c r="AH4368" s="116"/>
      <c r="AI4368" s="116"/>
    </row>
    <row r="4369" spans="27:35" ht="18">
      <c r="AA4369" s="116"/>
      <c r="AB4369" s="87"/>
      <c r="AC4369" s="116"/>
      <c r="AD4369" s="116"/>
      <c r="AE4369" s="116"/>
      <c r="AF4369" s="116"/>
      <c r="AG4369" s="116"/>
      <c r="AH4369" s="116"/>
      <c r="AI4369" s="116"/>
    </row>
    <row r="4370" spans="27:35" ht="18">
      <c r="AA4370" s="116"/>
      <c r="AB4370" s="87"/>
      <c r="AC4370" s="116"/>
      <c r="AD4370" s="116"/>
      <c r="AE4370" s="116"/>
      <c r="AF4370" s="116"/>
      <c r="AG4370" s="116"/>
      <c r="AH4370" s="116"/>
      <c r="AI4370" s="116"/>
    </row>
    <row r="4371" spans="27:35" ht="18">
      <c r="AA4371" s="116"/>
      <c r="AB4371" s="87"/>
      <c r="AC4371" s="116"/>
      <c r="AD4371" s="116"/>
      <c r="AE4371" s="116"/>
      <c r="AF4371" s="116"/>
      <c r="AG4371" s="116"/>
      <c r="AH4371" s="116"/>
      <c r="AI4371" s="116"/>
    </row>
    <row r="4372" spans="27:35" ht="18">
      <c r="AA4372" s="116"/>
      <c r="AB4372" s="87"/>
      <c r="AC4372" s="116"/>
      <c r="AD4372" s="116"/>
      <c r="AE4372" s="116"/>
      <c r="AF4372" s="116"/>
      <c r="AG4372" s="116"/>
      <c r="AH4372" s="116"/>
      <c r="AI4372" s="116"/>
    </row>
    <row r="4373" spans="27:35" ht="18">
      <c r="AA4373" s="116"/>
      <c r="AB4373" s="87"/>
      <c r="AC4373" s="116"/>
      <c r="AD4373" s="116"/>
      <c r="AE4373" s="116"/>
      <c r="AF4373" s="116"/>
      <c r="AG4373" s="116"/>
      <c r="AH4373" s="116"/>
      <c r="AI4373" s="116"/>
    </row>
    <row r="4374" spans="27:35" ht="18">
      <c r="AA4374" s="116"/>
      <c r="AB4374" s="184"/>
      <c r="AC4374" s="116"/>
      <c r="AD4374" s="116"/>
      <c r="AE4374" s="116"/>
      <c r="AF4374" s="116"/>
      <c r="AG4374" s="116"/>
      <c r="AH4374" s="116"/>
      <c r="AI4374" s="116"/>
    </row>
    <row r="4375" spans="27:35" ht="18">
      <c r="AA4375" s="116"/>
      <c r="AB4375" s="87"/>
      <c r="AC4375" s="116"/>
      <c r="AD4375" s="116"/>
      <c r="AE4375" s="116"/>
      <c r="AF4375" s="116"/>
      <c r="AG4375" s="116"/>
      <c r="AH4375" s="116"/>
      <c r="AI4375" s="116"/>
    </row>
    <row r="4376" spans="27:35" ht="18">
      <c r="AA4376" s="116"/>
      <c r="AB4376" s="87"/>
      <c r="AC4376" s="116"/>
      <c r="AD4376" s="116"/>
      <c r="AE4376" s="116"/>
      <c r="AF4376" s="116"/>
      <c r="AG4376" s="116"/>
      <c r="AH4376" s="116"/>
      <c r="AI4376" s="116"/>
    </row>
    <row r="4377" spans="27:35" ht="18">
      <c r="AA4377" s="116"/>
      <c r="AB4377" s="87"/>
      <c r="AC4377" s="116"/>
      <c r="AD4377" s="116"/>
      <c r="AE4377" s="116"/>
      <c r="AF4377" s="116"/>
      <c r="AG4377" s="116"/>
      <c r="AH4377" s="116"/>
      <c r="AI4377" s="116"/>
    </row>
    <row r="4378" spans="27:35" ht="18">
      <c r="AA4378" s="116"/>
      <c r="AB4378" s="87"/>
      <c r="AC4378" s="116"/>
      <c r="AD4378" s="116"/>
      <c r="AE4378" s="116"/>
      <c r="AF4378" s="116"/>
      <c r="AG4378" s="116"/>
      <c r="AH4378" s="116"/>
      <c r="AI4378" s="116"/>
    </row>
    <row r="4379" spans="27:35" ht="18">
      <c r="AA4379" s="116"/>
      <c r="AB4379" s="87"/>
      <c r="AC4379" s="116"/>
      <c r="AD4379" s="116"/>
      <c r="AE4379" s="116"/>
      <c r="AF4379" s="116"/>
      <c r="AG4379" s="116"/>
      <c r="AH4379" s="116"/>
      <c r="AI4379" s="116"/>
    </row>
    <row r="4380" spans="27:35" ht="18">
      <c r="AA4380" s="116"/>
      <c r="AB4380" s="87"/>
      <c r="AC4380" s="116"/>
      <c r="AD4380" s="116"/>
      <c r="AE4380" s="116"/>
      <c r="AF4380" s="116"/>
      <c r="AG4380" s="116"/>
      <c r="AH4380" s="116"/>
      <c r="AI4380" s="116"/>
    </row>
    <row r="4381" spans="27:35" ht="18">
      <c r="AA4381" s="116"/>
      <c r="AB4381" s="87"/>
      <c r="AC4381" s="116"/>
      <c r="AD4381" s="116"/>
      <c r="AE4381" s="116"/>
      <c r="AF4381" s="116"/>
      <c r="AG4381" s="116"/>
      <c r="AH4381" s="116"/>
      <c r="AI4381" s="116"/>
    </row>
    <row r="4382" spans="27:35" ht="18">
      <c r="AA4382" s="116"/>
      <c r="AB4382" s="87"/>
      <c r="AC4382" s="116"/>
      <c r="AD4382" s="116"/>
      <c r="AE4382" s="116"/>
      <c r="AF4382" s="116"/>
      <c r="AG4382" s="116"/>
      <c r="AH4382" s="116"/>
      <c r="AI4382" s="116"/>
    </row>
    <row r="4383" spans="27:35" ht="18">
      <c r="AA4383" s="116"/>
      <c r="AB4383" s="87"/>
      <c r="AC4383" s="116"/>
      <c r="AD4383" s="116"/>
      <c r="AE4383" s="116"/>
      <c r="AF4383" s="116"/>
      <c r="AG4383" s="116"/>
      <c r="AH4383" s="116"/>
      <c r="AI4383" s="116"/>
    </row>
    <row r="4384" spans="27:35" ht="18">
      <c r="AA4384" s="116"/>
      <c r="AB4384" s="87"/>
      <c r="AC4384" s="116"/>
      <c r="AD4384" s="116"/>
      <c r="AE4384" s="116"/>
      <c r="AF4384" s="116"/>
      <c r="AG4384" s="116"/>
      <c r="AH4384" s="116"/>
      <c r="AI4384" s="116"/>
    </row>
    <row r="4385" spans="27:35" ht="18">
      <c r="AA4385" s="116"/>
      <c r="AB4385" s="87"/>
      <c r="AC4385" s="116"/>
      <c r="AD4385" s="116"/>
      <c r="AE4385" s="116"/>
      <c r="AF4385" s="116"/>
      <c r="AG4385" s="116"/>
      <c r="AH4385" s="116"/>
      <c r="AI4385" s="116"/>
    </row>
    <row r="4386" spans="27:35" ht="18">
      <c r="AA4386" s="116"/>
      <c r="AB4386" s="87"/>
      <c r="AC4386" s="116"/>
      <c r="AD4386" s="116"/>
      <c r="AE4386" s="116"/>
      <c r="AF4386" s="116"/>
      <c r="AG4386" s="116"/>
      <c r="AH4386" s="116"/>
      <c r="AI4386" s="116"/>
    </row>
    <row r="4387" spans="27:35" ht="18">
      <c r="AA4387" s="116"/>
      <c r="AB4387" s="184"/>
      <c r="AC4387" s="116"/>
      <c r="AD4387" s="116"/>
      <c r="AE4387" s="116"/>
      <c r="AF4387" s="116"/>
      <c r="AG4387" s="116"/>
      <c r="AH4387" s="116"/>
      <c r="AI4387" s="116"/>
    </row>
    <row r="4388" spans="27:35" ht="18">
      <c r="AA4388" s="116"/>
      <c r="AB4388" s="87"/>
      <c r="AC4388" s="116"/>
      <c r="AD4388" s="116"/>
      <c r="AE4388" s="116"/>
      <c r="AF4388" s="116"/>
      <c r="AG4388" s="116"/>
      <c r="AH4388" s="116"/>
      <c r="AI4388" s="116"/>
    </row>
    <row r="4389" spans="27:35" ht="18">
      <c r="AA4389" s="116"/>
      <c r="AB4389" s="87"/>
      <c r="AC4389" s="116"/>
      <c r="AD4389" s="116"/>
      <c r="AE4389" s="116"/>
      <c r="AF4389" s="116"/>
      <c r="AG4389" s="116"/>
      <c r="AH4389" s="116"/>
      <c r="AI4389" s="116"/>
    </row>
    <row r="4390" spans="27:35" ht="18">
      <c r="AA4390" s="116"/>
      <c r="AB4390" s="87"/>
      <c r="AC4390" s="116"/>
      <c r="AD4390" s="116"/>
      <c r="AE4390" s="116"/>
      <c r="AF4390" s="116"/>
      <c r="AG4390" s="116"/>
      <c r="AH4390" s="116"/>
      <c r="AI4390" s="116"/>
    </row>
    <row r="4391" spans="27:35" ht="18">
      <c r="AA4391" s="116"/>
      <c r="AB4391" s="87"/>
      <c r="AC4391" s="116"/>
      <c r="AD4391" s="116"/>
      <c r="AE4391" s="116"/>
      <c r="AF4391" s="116"/>
      <c r="AG4391" s="116"/>
      <c r="AH4391" s="116"/>
      <c r="AI4391" s="116"/>
    </row>
    <row r="4392" spans="27:35" ht="18">
      <c r="AA4392" s="116"/>
      <c r="AB4392" s="184"/>
      <c r="AC4392" s="116"/>
      <c r="AD4392" s="116"/>
      <c r="AE4392" s="116"/>
      <c r="AF4392" s="116"/>
      <c r="AG4392" s="116"/>
      <c r="AH4392" s="116"/>
      <c r="AI4392" s="116"/>
    </row>
    <row r="4393" spans="27:35" ht="18">
      <c r="AA4393" s="116"/>
      <c r="AB4393" s="87"/>
      <c r="AC4393" s="116"/>
      <c r="AD4393" s="116"/>
      <c r="AE4393" s="116"/>
      <c r="AF4393" s="116"/>
      <c r="AG4393" s="116"/>
      <c r="AH4393" s="116"/>
      <c r="AI4393" s="116"/>
    </row>
    <row r="4394" spans="27:35" ht="18">
      <c r="AA4394" s="116"/>
      <c r="AB4394" s="87"/>
      <c r="AC4394" s="116"/>
      <c r="AD4394" s="116"/>
      <c r="AE4394" s="116"/>
      <c r="AF4394" s="116"/>
      <c r="AG4394" s="116"/>
      <c r="AH4394" s="116"/>
      <c r="AI4394" s="116"/>
    </row>
    <row r="4395" spans="27:35" ht="18">
      <c r="AA4395" s="116"/>
      <c r="AB4395" s="87"/>
      <c r="AC4395" s="116"/>
      <c r="AD4395" s="116"/>
      <c r="AE4395" s="116"/>
      <c r="AF4395" s="116"/>
      <c r="AG4395" s="116"/>
      <c r="AH4395" s="116"/>
      <c r="AI4395" s="116"/>
    </row>
    <row r="4396" spans="27:35" ht="18">
      <c r="AA4396" s="116"/>
      <c r="AB4396" s="87"/>
      <c r="AC4396" s="116"/>
      <c r="AD4396" s="116"/>
      <c r="AE4396" s="116"/>
      <c r="AF4396" s="116"/>
      <c r="AG4396" s="116"/>
      <c r="AH4396" s="116"/>
      <c r="AI4396" s="116"/>
    </row>
    <row r="4397" spans="27:35" ht="18">
      <c r="AA4397" s="116"/>
      <c r="AB4397" s="87"/>
      <c r="AC4397" s="116"/>
      <c r="AD4397" s="116"/>
      <c r="AE4397" s="116"/>
      <c r="AF4397" s="116"/>
      <c r="AG4397" s="116"/>
      <c r="AH4397" s="116"/>
      <c r="AI4397" s="116"/>
    </row>
    <row r="4398" spans="27:35" ht="18">
      <c r="AA4398" s="116"/>
      <c r="AB4398" s="87"/>
      <c r="AC4398" s="116"/>
      <c r="AD4398" s="116"/>
      <c r="AE4398" s="116"/>
      <c r="AF4398" s="116"/>
      <c r="AG4398" s="116"/>
      <c r="AH4398" s="116"/>
      <c r="AI4398" s="116"/>
    </row>
    <row r="4399" spans="27:35" ht="18">
      <c r="AA4399" s="116"/>
      <c r="AB4399" s="87"/>
      <c r="AC4399" s="116"/>
      <c r="AD4399" s="116"/>
      <c r="AE4399" s="116"/>
      <c r="AF4399" s="116"/>
      <c r="AG4399" s="116"/>
      <c r="AH4399" s="116"/>
      <c r="AI4399" s="116"/>
    </row>
    <row r="4400" spans="27:35" ht="18">
      <c r="AA4400" s="116"/>
      <c r="AB4400" s="87"/>
      <c r="AC4400" s="116"/>
      <c r="AD4400" s="116"/>
      <c r="AE4400" s="116"/>
      <c r="AF4400" s="116"/>
      <c r="AG4400" s="116"/>
      <c r="AH4400" s="116"/>
      <c r="AI4400" s="116"/>
    </row>
    <row r="4401" spans="27:35" ht="18">
      <c r="AA4401" s="116"/>
      <c r="AB4401" s="87"/>
      <c r="AC4401" s="116"/>
      <c r="AD4401" s="116"/>
      <c r="AE4401" s="116"/>
      <c r="AF4401" s="116"/>
      <c r="AG4401" s="116"/>
      <c r="AH4401" s="116"/>
      <c r="AI4401" s="116"/>
    </row>
    <row r="4402" spans="27:35" ht="18">
      <c r="AA4402" s="116"/>
      <c r="AB4402" s="87"/>
      <c r="AC4402" s="116"/>
      <c r="AD4402" s="116"/>
      <c r="AE4402" s="116"/>
      <c r="AF4402" s="116"/>
      <c r="AG4402" s="116"/>
      <c r="AH4402" s="116"/>
      <c r="AI4402" s="116"/>
    </row>
    <row r="4403" spans="27:35" ht="18">
      <c r="AA4403" s="116"/>
      <c r="AB4403" s="87"/>
      <c r="AC4403" s="116"/>
      <c r="AD4403" s="116"/>
      <c r="AE4403" s="116"/>
      <c r="AF4403" s="116"/>
      <c r="AG4403" s="116"/>
      <c r="AH4403" s="116"/>
      <c r="AI4403" s="116"/>
    </row>
    <row r="4404" spans="27:35" ht="18">
      <c r="AA4404" s="116"/>
      <c r="AB4404" s="87"/>
      <c r="AC4404" s="116"/>
      <c r="AD4404" s="116"/>
      <c r="AE4404" s="116"/>
      <c r="AF4404" s="116"/>
      <c r="AG4404" s="116"/>
      <c r="AH4404" s="116"/>
      <c r="AI4404" s="116"/>
    </row>
    <row r="4405" spans="27:35" ht="18">
      <c r="AA4405" s="116"/>
      <c r="AB4405" s="87"/>
      <c r="AC4405" s="116"/>
      <c r="AD4405" s="116"/>
      <c r="AE4405" s="116"/>
      <c r="AF4405" s="116"/>
      <c r="AG4405" s="116"/>
      <c r="AH4405" s="116"/>
      <c r="AI4405" s="116"/>
    </row>
    <row r="4406" spans="27:35" ht="18">
      <c r="AA4406" s="116"/>
      <c r="AB4406" s="87"/>
      <c r="AC4406" s="116"/>
      <c r="AD4406" s="116"/>
      <c r="AE4406" s="116"/>
      <c r="AF4406" s="116"/>
      <c r="AG4406" s="116"/>
      <c r="AH4406" s="116"/>
      <c r="AI4406" s="116"/>
    </row>
    <row r="4407" spans="27:35" ht="18">
      <c r="AA4407" s="116"/>
      <c r="AB4407" s="87"/>
      <c r="AC4407" s="116"/>
      <c r="AD4407" s="116"/>
      <c r="AE4407" s="116"/>
      <c r="AF4407" s="116"/>
      <c r="AG4407" s="116"/>
      <c r="AH4407" s="116"/>
      <c r="AI4407" s="116"/>
    </row>
    <row r="4408" spans="27:35" ht="18">
      <c r="AA4408" s="116"/>
      <c r="AB4408" s="87"/>
      <c r="AC4408" s="116"/>
      <c r="AD4408" s="116"/>
      <c r="AE4408" s="116"/>
      <c r="AF4408" s="116"/>
      <c r="AG4408" s="116"/>
      <c r="AH4408" s="116"/>
      <c r="AI4408" s="116"/>
    </row>
    <row r="4409" spans="27:35" ht="18">
      <c r="AA4409" s="116"/>
      <c r="AB4409" s="87"/>
      <c r="AC4409" s="116"/>
      <c r="AD4409" s="116"/>
      <c r="AE4409" s="116"/>
      <c r="AF4409" s="116"/>
      <c r="AG4409" s="116"/>
      <c r="AH4409" s="116"/>
      <c r="AI4409" s="116"/>
    </row>
    <row r="4410" spans="27:35" ht="18">
      <c r="AA4410" s="116"/>
      <c r="AB4410" s="87"/>
      <c r="AC4410" s="116"/>
      <c r="AD4410" s="116"/>
      <c r="AE4410" s="116"/>
      <c r="AF4410" s="116"/>
      <c r="AG4410" s="116"/>
      <c r="AH4410" s="116"/>
      <c r="AI4410" s="116"/>
    </row>
    <row r="4411" spans="27:35" ht="18">
      <c r="AA4411" s="116"/>
      <c r="AB4411" s="87"/>
      <c r="AC4411" s="116"/>
      <c r="AD4411" s="116"/>
      <c r="AE4411" s="116"/>
      <c r="AF4411" s="116"/>
      <c r="AG4411" s="116"/>
      <c r="AH4411" s="116"/>
      <c r="AI4411" s="116"/>
    </row>
    <row r="4412" spans="27:35" ht="18">
      <c r="AA4412" s="116"/>
      <c r="AB4412" s="184"/>
      <c r="AC4412" s="116"/>
      <c r="AD4412" s="116"/>
      <c r="AE4412" s="116"/>
      <c r="AF4412" s="116"/>
      <c r="AG4412" s="116"/>
      <c r="AH4412" s="116"/>
      <c r="AI4412" s="116"/>
    </row>
    <row r="4413" spans="27:35" ht="18">
      <c r="AA4413" s="116"/>
      <c r="AB4413" s="184"/>
      <c r="AC4413" s="116"/>
      <c r="AD4413" s="116"/>
      <c r="AE4413" s="116"/>
      <c r="AF4413" s="116"/>
      <c r="AG4413" s="116"/>
      <c r="AH4413" s="116"/>
      <c r="AI4413" s="116"/>
    </row>
    <row r="4414" spans="27:35" ht="18">
      <c r="AA4414" s="116"/>
      <c r="AB4414" s="87"/>
      <c r="AC4414" s="116"/>
      <c r="AD4414" s="116"/>
      <c r="AE4414" s="116"/>
      <c r="AF4414" s="116"/>
      <c r="AG4414" s="116"/>
      <c r="AH4414" s="116"/>
      <c r="AI4414" s="116"/>
    </row>
    <row r="4415" spans="27:35" ht="18">
      <c r="AA4415" s="116"/>
      <c r="AB4415" s="87"/>
      <c r="AC4415" s="116"/>
      <c r="AD4415" s="116"/>
      <c r="AE4415" s="116"/>
      <c r="AF4415" s="116"/>
      <c r="AG4415" s="116"/>
      <c r="AH4415" s="116"/>
      <c r="AI4415" s="116"/>
    </row>
    <row r="4416" spans="27:35" ht="18">
      <c r="AA4416" s="116"/>
      <c r="AB4416" s="87"/>
      <c r="AC4416" s="116"/>
      <c r="AD4416" s="116"/>
      <c r="AE4416" s="116"/>
      <c r="AF4416" s="116"/>
      <c r="AG4416" s="116"/>
      <c r="AH4416" s="116"/>
      <c r="AI4416" s="116"/>
    </row>
    <row r="4417" spans="27:35" ht="18">
      <c r="AA4417" s="116"/>
      <c r="AB4417" s="184"/>
      <c r="AC4417" s="116"/>
      <c r="AD4417" s="116"/>
      <c r="AE4417" s="116"/>
      <c r="AF4417" s="116"/>
      <c r="AG4417" s="116"/>
      <c r="AH4417" s="116"/>
      <c r="AI4417" s="116"/>
    </row>
    <row r="4418" spans="27:35" ht="18">
      <c r="AA4418" s="116"/>
      <c r="AB4418" s="87"/>
      <c r="AC4418" s="116"/>
      <c r="AD4418" s="116"/>
      <c r="AE4418" s="116"/>
      <c r="AF4418" s="116"/>
      <c r="AG4418" s="116"/>
      <c r="AH4418" s="116"/>
      <c r="AI4418" s="116"/>
    </row>
    <row r="4419" spans="27:35" ht="18">
      <c r="AA4419" s="116"/>
      <c r="AB4419" s="87"/>
      <c r="AC4419" s="116"/>
      <c r="AD4419" s="116"/>
      <c r="AE4419" s="116"/>
      <c r="AF4419" s="116"/>
      <c r="AG4419" s="116"/>
      <c r="AH4419" s="116"/>
      <c r="AI4419" s="116"/>
    </row>
    <row r="4420" spans="27:35" ht="18">
      <c r="AA4420" s="116"/>
      <c r="AB4420" s="87"/>
      <c r="AC4420" s="116"/>
      <c r="AD4420" s="116"/>
      <c r="AE4420" s="116"/>
      <c r="AF4420" s="116"/>
      <c r="AG4420" s="116"/>
      <c r="AH4420" s="116"/>
      <c r="AI4420" s="116"/>
    </row>
    <row r="4421" spans="27:35" ht="18">
      <c r="AA4421" s="116"/>
      <c r="AB4421" s="87"/>
      <c r="AC4421" s="116"/>
      <c r="AD4421" s="116"/>
      <c r="AE4421" s="116"/>
      <c r="AF4421" s="116"/>
      <c r="AG4421" s="116"/>
      <c r="AH4421" s="116"/>
      <c r="AI4421" s="116"/>
    </row>
    <row r="4422" spans="27:35" ht="18">
      <c r="AA4422" s="116"/>
      <c r="AB4422" s="87"/>
      <c r="AC4422" s="116"/>
      <c r="AD4422" s="116"/>
      <c r="AE4422" s="116"/>
      <c r="AF4422" s="116"/>
      <c r="AG4422" s="116"/>
      <c r="AH4422" s="116"/>
      <c r="AI4422" s="116"/>
    </row>
    <row r="4423" spans="27:35" ht="18">
      <c r="AA4423" s="116"/>
      <c r="AB4423" s="87"/>
      <c r="AC4423" s="116"/>
      <c r="AD4423" s="116"/>
      <c r="AE4423" s="116"/>
      <c r="AF4423" s="116"/>
      <c r="AG4423" s="116"/>
      <c r="AH4423" s="116"/>
      <c r="AI4423" s="116"/>
    </row>
    <row r="4424" spans="27:35" ht="18">
      <c r="AA4424" s="116"/>
      <c r="AB4424" s="184"/>
      <c r="AC4424" s="116"/>
      <c r="AD4424" s="116"/>
      <c r="AE4424" s="116"/>
      <c r="AF4424" s="116"/>
      <c r="AG4424" s="116"/>
      <c r="AH4424" s="116"/>
      <c r="AI4424" s="116"/>
    </row>
    <row r="4425" spans="27:35" ht="18">
      <c r="AA4425" s="116"/>
      <c r="AB4425" s="87"/>
      <c r="AC4425" s="116"/>
      <c r="AD4425" s="116"/>
      <c r="AE4425" s="116"/>
      <c r="AF4425" s="116"/>
      <c r="AG4425" s="116"/>
      <c r="AH4425" s="116"/>
      <c r="AI4425" s="116"/>
    </row>
    <row r="4426" spans="27:35" ht="18">
      <c r="AA4426" s="116"/>
      <c r="AB4426" s="87"/>
      <c r="AC4426" s="116"/>
      <c r="AD4426" s="116"/>
      <c r="AE4426" s="116"/>
      <c r="AF4426" s="116"/>
      <c r="AG4426" s="116"/>
      <c r="AH4426" s="116"/>
      <c r="AI4426" s="116"/>
    </row>
    <row r="4427" spans="27:35" ht="18">
      <c r="AA4427" s="116"/>
      <c r="AB4427" s="87"/>
      <c r="AC4427" s="116"/>
      <c r="AD4427" s="116"/>
      <c r="AE4427" s="116"/>
      <c r="AF4427" s="116"/>
      <c r="AG4427" s="116"/>
      <c r="AH4427" s="116"/>
      <c r="AI4427" s="116"/>
    </row>
    <row r="4428" spans="27:35" ht="18">
      <c r="AA4428" s="116"/>
      <c r="AB4428" s="87"/>
      <c r="AC4428" s="116"/>
      <c r="AD4428" s="116"/>
      <c r="AE4428" s="116"/>
      <c r="AF4428" s="116"/>
      <c r="AG4428" s="116"/>
      <c r="AH4428" s="116"/>
      <c r="AI4428" s="116"/>
    </row>
    <row r="4429" spans="27:35" ht="18">
      <c r="AA4429" s="116"/>
      <c r="AB4429" s="184"/>
      <c r="AC4429" s="116"/>
      <c r="AD4429" s="116"/>
      <c r="AE4429" s="116"/>
      <c r="AF4429" s="116"/>
      <c r="AG4429" s="116"/>
      <c r="AH4429" s="116"/>
      <c r="AI4429" s="116"/>
    </row>
    <row r="4430" spans="27:35" ht="18">
      <c r="AA4430" s="116"/>
      <c r="AB4430" s="184"/>
      <c r="AC4430" s="116"/>
      <c r="AD4430" s="116"/>
      <c r="AE4430" s="116"/>
      <c r="AF4430" s="116"/>
      <c r="AG4430" s="116"/>
      <c r="AH4430" s="116"/>
      <c r="AI4430" s="116"/>
    </row>
    <row r="4431" spans="27:35" ht="18">
      <c r="AA4431" s="116"/>
      <c r="AB4431" s="184"/>
      <c r="AC4431" s="116"/>
      <c r="AD4431" s="116"/>
      <c r="AE4431" s="116"/>
      <c r="AF4431" s="116"/>
      <c r="AG4431" s="116"/>
      <c r="AH4431" s="116"/>
      <c r="AI4431" s="116"/>
    </row>
    <row r="4432" spans="27:35" ht="18">
      <c r="AA4432" s="116"/>
      <c r="AB4432" s="87"/>
      <c r="AC4432" s="116"/>
      <c r="AD4432" s="116"/>
      <c r="AE4432" s="116"/>
      <c r="AF4432" s="116"/>
      <c r="AG4432" s="116"/>
      <c r="AH4432" s="116"/>
      <c r="AI4432" s="116"/>
    </row>
    <row r="4433" spans="27:35" ht="18">
      <c r="AA4433" s="116"/>
      <c r="AB4433" s="87"/>
      <c r="AC4433" s="116"/>
      <c r="AD4433" s="116"/>
      <c r="AE4433" s="116"/>
      <c r="AF4433" s="116"/>
      <c r="AG4433" s="116"/>
      <c r="AH4433" s="116"/>
      <c r="AI4433" s="116"/>
    </row>
    <row r="4434" spans="27:35" ht="18">
      <c r="AA4434" s="116"/>
      <c r="AB4434" s="184"/>
      <c r="AC4434" s="116"/>
      <c r="AD4434" s="116"/>
      <c r="AE4434" s="116"/>
      <c r="AF4434" s="116"/>
      <c r="AG4434" s="116"/>
      <c r="AH4434" s="116"/>
      <c r="AI4434" s="116"/>
    </row>
    <row r="4435" spans="27:35" ht="18">
      <c r="AA4435" s="116"/>
      <c r="AB4435" s="87"/>
      <c r="AC4435" s="116"/>
      <c r="AD4435" s="116"/>
      <c r="AE4435" s="116"/>
      <c r="AF4435" s="116"/>
      <c r="AG4435" s="116"/>
      <c r="AH4435" s="116"/>
      <c r="AI4435" s="116"/>
    </row>
    <row r="4436" spans="27:35" ht="18">
      <c r="AA4436" s="116"/>
      <c r="AB4436" s="87"/>
      <c r="AC4436" s="116"/>
      <c r="AD4436" s="116"/>
      <c r="AE4436" s="116"/>
      <c r="AF4436" s="116"/>
      <c r="AG4436" s="116"/>
      <c r="AH4436" s="116"/>
      <c r="AI4436" s="116"/>
    </row>
    <row r="4437" spans="27:35" ht="18">
      <c r="AA4437" s="116"/>
      <c r="AB4437" s="87"/>
      <c r="AC4437" s="116"/>
      <c r="AD4437" s="116"/>
      <c r="AE4437" s="116"/>
      <c r="AF4437" s="116"/>
      <c r="AG4437" s="116"/>
      <c r="AH4437" s="116"/>
      <c r="AI4437" s="116"/>
    </row>
    <row r="4438" spans="27:35" ht="18">
      <c r="AA4438" s="116"/>
      <c r="AB4438" s="87"/>
      <c r="AC4438" s="116"/>
      <c r="AD4438" s="116"/>
      <c r="AE4438" s="116"/>
      <c r="AF4438" s="116"/>
      <c r="AG4438" s="116"/>
      <c r="AH4438" s="116"/>
      <c r="AI4438" s="116"/>
    </row>
    <row r="4439" spans="27:35" ht="18">
      <c r="AA4439" s="116"/>
      <c r="AB4439" s="87"/>
      <c r="AC4439" s="116"/>
      <c r="AD4439" s="116"/>
      <c r="AE4439" s="116"/>
      <c r="AF4439" s="116"/>
      <c r="AG4439" s="116"/>
      <c r="AH4439" s="116"/>
      <c r="AI4439" s="116"/>
    </row>
    <row r="4440" spans="27:35" ht="18">
      <c r="AA4440" s="116"/>
      <c r="AB4440" s="87"/>
      <c r="AC4440" s="116"/>
      <c r="AD4440" s="116"/>
      <c r="AE4440" s="116"/>
      <c r="AF4440" s="116"/>
      <c r="AG4440" s="116"/>
      <c r="AH4440" s="116"/>
      <c r="AI4440" s="116"/>
    </row>
    <row r="4441" spans="27:35" ht="18">
      <c r="AA4441" s="116"/>
      <c r="AB4441" s="87"/>
      <c r="AC4441" s="116"/>
      <c r="AD4441" s="116"/>
      <c r="AE4441" s="116"/>
      <c r="AF4441" s="116"/>
      <c r="AG4441" s="116"/>
      <c r="AH4441" s="116"/>
      <c r="AI4441" s="116"/>
    </row>
    <row r="4442" spans="27:35" ht="18">
      <c r="AA4442" s="116"/>
      <c r="AB4442" s="87"/>
      <c r="AC4442" s="116"/>
      <c r="AD4442" s="116"/>
      <c r="AE4442" s="116"/>
      <c r="AF4442" s="116"/>
      <c r="AG4442" s="116"/>
      <c r="AH4442" s="116"/>
      <c r="AI4442" s="116"/>
    </row>
    <row r="4443" spans="27:35" ht="18">
      <c r="AA4443" s="116"/>
      <c r="AB4443" s="87"/>
      <c r="AC4443" s="116"/>
      <c r="AD4443" s="116"/>
      <c r="AE4443" s="116"/>
      <c r="AF4443" s="116"/>
      <c r="AG4443" s="116"/>
      <c r="AH4443" s="116"/>
      <c r="AI4443" s="116"/>
    </row>
    <row r="4444" spans="27:35" ht="18">
      <c r="AA4444" s="116"/>
      <c r="AB4444" s="87"/>
      <c r="AC4444" s="116"/>
      <c r="AD4444" s="116"/>
      <c r="AE4444" s="116"/>
      <c r="AF4444" s="116"/>
      <c r="AG4444" s="116"/>
      <c r="AH4444" s="116"/>
      <c r="AI4444" s="116"/>
    </row>
    <row r="4445" spans="27:35" ht="18">
      <c r="AA4445" s="116"/>
      <c r="AB4445" s="87"/>
      <c r="AC4445" s="116"/>
      <c r="AD4445" s="116"/>
      <c r="AE4445" s="116"/>
      <c r="AF4445" s="116"/>
      <c r="AG4445" s="116"/>
      <c r="AH4445" s="116"/>
      <c r="AI4445" s="116"/>
    </row>
    <row r="4446" spans="27:35" ht="18">
      <c r="AA4446" s="116"/>
      <c r="AB4446" s="87"/>
      <c r="AC4446" s="116"/>
      <c r="AD4446" s="116"/>
      <c r="AE4446" s="116"/>
      <c r="AF4446" s="116"/>
      <c r="AG4446" s="116"/>
      <c r="AH4446" s="116"/>
      <c r="AI4446" s="116"/>
    </row>
    <row r="4447" spans="27:35" ht="18">
      <c r="AA4447" s="116"/>
      <c r="AB4447" s="87"/>
      <c r="AC4447" s="116"/>
      <c r="AD4447" s="116"/>
      <c r="AE4447" s="116"/>
      <c r="AF4447" s="116"/>
      <c r="AG4447" s="116"/>
      <c r="AH4447" s="116"/>
      <c r="AI4447" s="116"/>
    </row>
    <row r="4448" spans="27:35" ht="18">
      <c r="AA4448" s="116"/>
      <c r="AB4448" s="87"/>
      <c r="AC4448" s="116"/>
      <c r="AD4448" s="116"/>
      <c r="AE4448" s="116"/>
      <c r="AF4448" s="116"/>
      <c r="AG4448" s="116"/>
      <c r="AH4448" s="116"/>
      <c r="AI4448" s="116"/>
    </row>
    <row r="4449" spans="27:35" ht="18">
      <c r="AA4449" s="116"/>
      <c r="AB4449" s="184"/>
      <c r="AC4449" s="116"/>
      <c r="AD4449" s="116"/>
      <c r="AE4449" s="116"/>
      <c r="AF4449" s="116"/>
      <c r="AG4449" s="116"/>
      <c r="AH4449" s="116"/>
      <c r="AI4449" s="116"/>
    </row>
    <row r="4450" spans="27:35" ht="18">
      <c r="AA4450" s="116"/>
      <c r="AB4450" s="87"/>
      <c r="AC4450" s="116"/>
      <c r="AD4450" s="116"/>
      <c r="AE4450" s="116"/>
      <c r="AF4450" s="116"/>
      <c r="AG4450" s="116"/>
      <c r="AH4450" s="116"/>
      <c r="AI4450" s="116"/>
    </row>
    <row r="4451" spans="27:35" ht="18">
      <c r="AA4451" s="116"/>
      <c r="AB4451" s="87"/>
      <c r="AC4451" s="116"/>
      <c r="AD4451" s="116"/>
      <c r="AE4451" s="116"/>
      <c r="AF4451" s="116"/>
      <c r="AG4451" s="116"/>
      <c r="AH4451" s="116"/>
      <c r="AI4451" s="116"/>
    </row>
    <row r="4452" spans="27:35" ht="18">
      <c r="AA4452" s="116"/>
      <c r="AB4452" s="87"/>
      <c r="AC4452" s="116"/>
      <c r="AD4452" s="116"/>
      <c r="AE4452" s="116"/>
      <c r="AF4452" s="116"/>
      <c r="AG4452" s="116"/>
      <c r="AH4452" s="116"/>
      <c r="AI4452" s="116"/>
    </row>
    <row r="4453" spans="27:35" ht="18">
      <c r="AA4453" s="116"/>
      <c r="AB4453" s="184"/>
      <c r="AC4453" s="116"/>
      <c r="AD4453" s="116"/>
      <c r="AE4453" s="116"/>
      <c r="AF4453" s="116"/>
      <c r="AG4453" s="116"/>
      <c r="AH4453" s="116"/>
      <c r="AI4453" s="116"/>
    </row>
    <row r="4454" spans="27:35" ht="18">
      <c r="AA4454" s="116"/>
      <c r="AB4454" s="87"/>
      <c r="AC4454" s="116"/>
      <c r="AD4454" s="116"/>
      <c r="AE4454" s="116"/>
      <c r="AF4454" s="116"/>
      <c r="AG4454" s="116"/>
      <c r="AH4454" s="116"/>
      <c r="AI4454" s="116"/>
    </row>
    <row r="4455" spans="27:35" ht="18">
      <c r="AA4455" s="116"/>
      <c r="AB4455" s="87"/>
      <c r="AC4455" s="116"/>
      <c r="AD4455" s="116"/>
      <c r="AE4455" s="116"/>
      <c r="AF4455" s="116"/>
      <c r="AG4455" s="116"/>
      <c r="AH4455" s="116"/>
      <c r="AI4455" s="116"/>
    </row>
    <row r="4456" spans="27:35" ht="18">
      <c r="AA4456" s="116"/>
      <c r="AB4456" s="87"/>
      <c r="AC4456" s="116"/>
      <c r="AD4456" s="116"/>
      <c r="AE4456" s="116"/>
      <c r="AF4456" s="116"/>
      <c r="AG4456" s="116"/>
      <c r="AH4456" s="116"/>
      <c r="AI4456" s="116"/>
    </row>
    <row r="4457" spans="27:35" ht="18">
      <c r="AA4457" s="116"/>
      <c r="AB4457" s="87"/>
      <c r="AC4457" s="116"/>
      <c r="AD4457" s="116"/>
      <c r="AE4457" s="116"/>
      <c r="AF4457" s="116"/>
      <c r="AG4457" s="116"/>
      <c r="AH4457" s="116"/>
      <c r="AI4457" s="116"/>
    </row>
    <row r="4458" spans="27:35" ht="18">
      <c r="AA4458" s="116"/>
      <c r="AB4458" s="184"/>
      <c r="AC4458" s="116"/>
      <c r="AD4458" s="116"/>
      <c r="AE4458" s="116"/>
      <c r="AF4458" s="116"/>
      <c r="AG4458" s="116"/>
      <c r="AH4458" s="116"/>
      <c r="AI4458" s="116"/>
    </row>
    <row r="4459" spans="27:35" ht="18">
      <c r="AA4459" s="116"/>
      <c r="AB4459" s="184"/>
      <c r="AC4459" s="116"/>
      <c r="AD4459" s="116"/>
      <c r="AE4459" s="116"/>
      <c r="AF4459" s="116"/>
      <c r="AG4459" s="116"/>
      <c r="AH4459" s="116"/>
      <c r="AI4459" s="116"/>
    </row>
    <row r="4460" spans="27:35" ht="18">
      <c r="AA4460" s="116"/>
      <c r="AB4460" s="87"/>
      <c r="AC4460" s="116"/>
      <c r="AD4460" s="116"/>
      <c r="AE4460" s="116"/>
      <c r="AF4460" s="116"/>
      <c r="AG4460" s="116"/>
      <c r="AH4460" s="116"/>
      <c r="AI4460" s="116"/>
    </row>
    <row r="4461" spans="27:35" ht="18">
      <c r="AA4461" s="116"/>
      <c r="AB4461" s="87"/>
      <c r="AC4461" s="116"/>
      <c r="AD4461" s="116"/>
      <c r="AE4461" s="116"/>
      <c r="AF4461" s="116"/>
      <c r="AG4461" s="116"/>
      <c r="AH4461" s="116"/>
      <c r="AI4461" s="116"/>
    </row>
    <row r="4462" spans="27:35" ht="18">
      <c r="AA4462" s="116"/>
      <c r="AB4462" s="87"/>
      <c r="AC4462" s="116"/>
      <c r="AD4462" s="116"/>
      <c r="AE4462" s="116"/>
      <c r="AF4462" s="116"/>
      <c r="AG4462" s="116"/>
      <c r="AH4462" s="116"/>
      <c r="AI4462" s="116"/>
    </row>
    <row r="4463" spans="27:35" ht="18">
      <c r="AA4463" s="116"/>
      <c r="AB4463" s="87"/>
      <c r="AC4463" s="116"/>
      <c r="AD4463" s="116"/>
      <c r="AE4463" s="116"/>
      <c r="AF4463" s="116"/>
      <c r="AG4463" s="116"/>
      <c r="AH4463" s="116"/>
      <c r="AI4463" s="116"/>
    </row>
    <row r="4464" spans="27:35" ht="18">
      <c r="AA4464" s="116"/>
      <c r="AB4464" s="87"/>
      <c r="AC4464" s="116"/>
      <c r="AD4464" s="116"/>
      <c r="AE4464" s="116"/>
      <c r="AF4464" s="116"/>
      <c r="AG4464" s="116"/>
      <c r="AH4464" s="116"/>
      <c r="AI4464" s="116"/>
    </row>
    <row r="4465" spans="27:35" ht="18">
      <c r="AA4465" s="116"/>
      <c r="AB4465" s="87"/>
      <c r="AC4465" s="116"/>
      <c r="AD4465" s="116"/>
      <c r="AE4465" s="116"/>
      <c r="AF4465" s="116"/>
      <c r="AG4465" s="116"/>
      <c r="AH4465" s="116"/>
      <c r="AI4465" s="116"/>
    </row>
    <row r="4466" spans="27:35" ht="18">
      <c r="AA4466" s="116"/>
      <c r="AB4466" s="87"/>
      <c r="AC4466" s="116"/>
      <c r="AD4466" s="116"/>
      <c r="AE4466" s="116"/>
      <c r="AF4466" s="116"/>
      <c r="AG4466" s="116"/>
      <c r="AH4466" s="116"/>
      <c r="AI4466" s="116"/>
    </row>
    <row r="4467" spans="27:35" ht="18">
      <c r="AA4467" s="116"/>
      <c r="AB4467" s="87"/>
      <c r="AC4467" s="116"/>
      <c r="AD4467" s="116"/>
      <c r="AE4467" s="116"/>
      <c r="AF4467" s="116"/>
      <c r="AG4467" s="116"/>
      <c r="AH4467" s="116"/>
      <c r="AI4467" s="116"/>
    </row>
    <row r="4468" spans="27:35" ht="18">
      <c r="AA4468" s="116"/>
      <c r="AB4468" s="87"/>
      <c r="AC4468" s="116"/>
      <c r="AD4468" s="116"/>
      <c r="AE4468" s="116"/>
      <c r="AF4468" s="116"/>
      <c r="AG4468" s="116"/>
      <c r="AH4468" s="116"/>
      <c r="AI4468" s="116"/>
    </row>
    <row r="4469" spans="27:35" ht="18">
      <c r="AA4469" s="116"/>
      <c r="AB4469" s="87"/>
      <c r="AC4469" s="116"/>
      <c r="AD4469" s="116"/>
      <c r="AE4469" s="116"/>
      <c r="AF4469" s="116"/>
      <c r="AG4469" s="116"/>
      <c r="AH4469" s="116"/>
      <c r="AI4469" s="116"/>
    </row>
    <row r="4470" spans="27:35" ht="18">
      <c r="AA4470" s="116"/>
      <c r="AB4470" s="87"/>
      <c r="AC4470" s="116"/>
      <c r="AD4470" s="116"/>
      <c r="AE4470" s="116"/>
      <c r="AF4470" s="116"/>
      <c r="AG4470" s="116"/>
      <c r="AH4470" s="116"/>
      <c r="AI4470" s="116"/>
    </row>
    <row r="4471" spans="27:35" ht="18">
      <c r="AA4471" s="116"/>
      <c r="AB4471" s="87"/>
      <c r="AC4471" s="116"/>
      <c r="AD4471" s="116"/>
      <c r="AE4471" s="116"/>
      <c r="AF4471" s="116"/>
      <c r="AG4471" s="116"/>
      <c r="AH4471" s="116"/>
      <c r="AI4471" s="116"/>
    </row>
    <row r="4472" spans="27:35" ht="18">
      <c r="AA4472" s="116"/>
      <c r="AB4472" s="87"/>
      <c r="AC4472" s="116"/>
      <c r="AD4472" s="116"/>
      <c r="AE4472" s="116"/>
      <c r="AF4472" s="116"/>
      <c r="AG4472" s="116"/>
      <c r="AH4472" s="116"/>
      <c r="AI4472" s="116"/>
    </row>
    <row r="4473" spans="27:35" ht="18">
      <c r="AA4473" s="116"/>
      <c r="AB4473" s="184"/>
      <c r="AC4473" s="116"/>
      <c r="AD4473" s="116"/>
      <c r="AE4473" s="116"/>
      <c r="AF4473" s="116"/>
      <c r="AG4473" s="116"/>
      <c r="AH4473" s="116"/>
      <c r="AI4473" s="116"/>
    </row>
    <row r="4474" spans="27:35" ht="18">
      <c r="AA4474" s="116"/>
      <c r="AB4474" s="87"/>
      <c r="AC4474" s="116"/>
      <c r="AD4474" s="116"/>
      <c r="AE4474" s="116"/>
      <c r="AF4474" s="116"/>
      <c r="AG4474" s="116"/>
      <c r="AH4474" s="116"/>
      <c r="AI4474" s="116"/>
    </row>
    <row r="4475" spans="27:35" ht="18">
      <c r="AA4475" s="116"/>
      <c r="AB4475" s="87"/>
      <c r="AC4475" s="116"/>
      <c r="AD4475" s="116"/>
      <c r="AE4475" s="116"/>
      <c r="AF4475" s="116"/>
      <c r="AG4475" s="116"/>
      <c r="AH4475" s="116"/>
      <c r="AI4475" s="116"/>
    </row>
    <row r="4476" spans="27:35" ht="18">
      <c r="AA4476" s="116"/>
      <c r="AB4476" s="87"/>
      <c r="AC4476" s="116"/>
      <c r="AD4476" s="116"/>
      <c r="AE4476" s="116"/>
      <c r="AF4476" s="116"/>
      <c r="AG4476" s="116"/>
      <c r="AH4476" s="116"/>
      <c r="AI4476" s="116"/>
    </row>
    <row r="4477" spans="27:35" ht="18">
      <c r="AA4477" s="116"/>
      <c r="AB4477" s="87"/>
      <c r="AC4477" s="116"/>
      <c r="AD4477" s="116"/>
      <c r="AE4477" s="116"/>
      <c r="AF4477" s="116"/>
      <c r="AG4477" s="116"/>
      <c r="AH4477" s="116"/>
      <c r="AI4477" s="116"/>
    </row>
    <row r="4478" spans="27:35" ht="18">
      <c r="AA4478" s="116"/>
      <c r="AB4478" s="184"/>
      <c r="AC4478" s="116"/>
      <c r="AD4478" s="116"/>
      <c r="AE4478" s="116"/>
      <c r="AF4478" s="116"/>
      <c r="AG4478" s="116"/>
      <c r="AH4478" s="116"/>
      <c r="AI4478" s="116"/>
    </row>
    <row r="4479" spans="27:35" ht="18">
      <c r="AA4479" s="116"/>
      <c r="AB4479" s="184"/>
      <c r="AC4479" s="116"/>
      <c r="AD4479" s="116"/>
      <c r="AE4479" s="116"/>
      <c r="AF4479" s="116"/>
      <c r="AG4479" s="116"/>
      <c r="AH4479" s="116"/>
      <c r="AI4479" s="116"/>
    </row>
    <row r="4480" spans="27:35" ht="18">
      <c r="AA4480" s="116"/>
      <c r="AB4480" s="87"/>
      <c r="AC4480" s="116"/>
      <c r="AD4480" s="116"/>
      <c r="AE4480" s="116"/>
      <c r="AF4480" s="116"/>
      <c r="AG4480" s="116"/>
      <c r="AH4480" s="116"/>
      <c r="AI4480" s="116"/>
    </row>
    <row r="4481" spans="27:35" ht="18">
      <c r="AA4481" s="116"/>
      <c r="AB4481" s="87"/>
      <c r="AC4481" s="116"/>
      <c r="AD4481" s="116"/>
      <c r="AE4481" s="116"/>
      <c r="AF4481" s="116"/>
      <c r="AG4481" s="116"/>
      <c r="AH4481" s="116"/>
      <c r="AI4481" s="116"/>
    </row>
    <row r="4482" spans="27:35" ht="18">
      <c r="AA4482" s="116"/>
      <c r="AB4482" s="87"/>
      <c r="AC4482" s="116"/>
      <c r="AD4482" s="116"/>
      <c r="AE4482" s="116"/>
      <c r="AF4482" s="116"/>
      <c r="AG4482" s="116"/>
      <c r="AH4482" s="116"/>
      <c r="AI4482" s="116"/>
    </row>
    <row r="4483" spans="27:35" ht="18">
      <c r="AA4483" s="116"/>
      <c r="AB4483" s="87"/>
      <c r="AC4483" s="116"/>
      <c r="AD4483" s="116"/>
      <c r="AE4483" s="116"/>
      <c r="AF4483" s="116"/>
      <c r="AG4483" s="116"/>
      <c r="AH4483" s="116"/>
      <c r="AI4483" s="116"/>
    </row>
    <row r="4484" spans="27:35" ht="18">
      <c r="AA4484" s="116"/>
      <c r="AB4484" s="87"/>
      <c r="AC4484" s="116"/>
      <c r="AD4484" s="116"/>
      <c r="AE4484" s="116"/>
      <c r="AF4484" s="116"/>
      <c r="AG4484" s="116"/>
      <c r="AH4484" s="116"/>
      <c r="AI4484" s="116"/>
    </row>
    <row r="4485" spans="27:35" ht="18">
      <c r="AA4485" s="116"/>
      <c r="AB4485" s="87"/>
      <c r="AC4485" s="116"/>
      <c r="AD4485" s="116"/>
      <c r="AE4485" s="116"/>
      <c r="AF4485" s="116"/>
      <c r="AG4485" s="116"/>
      <c r="AH4485" s="116"/>
      <c r="AI4485" s="116"/>
    </row>
    <row r="4486" spans="27:35" ht="18">
      <c r="AA4486" s="116"/>
      <c r="AB4486" s="87"/>
      <c r="AC4486" s="116"/>
      <c r="AD4486" s="116"/>
      <c r="AE4486" s="116"/>
      <c r="AF4486" s="116"/>
      <c r="AG4486" s="116"/>
      <c r="AH4486" s="116"/>
      <c r="AI4486" s="116"/>
    </row>
    <row r="4487" spans="27:35" ht="18">
      <c r="AA4487" s="116"/>
      <c r="AB4487" s="87"/>
      <c r="AC4487" s="116"/>
      <c r="AD4487" s="116"/>
      <c r="AE4487" s="116"/>
      <c r="AF4487" s="116"/>
      <c r="AG4487" s="116"/>
      <c r="AH4487" s="116"/>
      <c r="AI4487" s="116"/>
    </row>
    <row r="4488" spans="27:35" ht="18">
      <c r="AA4488" s="116"/>
      <c r="AB4488" s="87"/>
      <c r="AC4488" s="116"/>
      <c r="AD4488" s="116"/>
      <c r="AE4488" s="116"/>
      <c r="AF4488" s="116"/>
      <c r="AG4488" s="116"/>
      <c r="AH4488" s="116"/>
      <c r="AI4488" s="116"/>
    </row>
    <row r="4489" spans="27:35" ht="18">
      <c r="AA4489" s="116"/>
      <c r="AB4489" s="87"/>
      <c r="AC4489" s="116"/>
      <c r="AD4489" s="116"/>
      <c r="AE4489" s="116"/>
      <c r="AF4489" s="116"/>
      <c r="AG4489" s="116"/>
      <c r="AH4489" s="116"/>
      <c r="AI4489" s="116"/>
    </row>
    <row r="4490" spans="27:35" ht="18">
      <c r="AA4490" s="116"/>
      <c r="AB4490" s="87"/>
      <c r="AC4490" s="116"/>
      <c r="AD4490" s="116"/>
      <c r="AE4490" s="116"/>
      <c r="AF4490" s="116"/>
      <c r="AG4490" s="116"/>
      <c r="AH4490" s="116"/>
      <c r="AI4490" s="116"/>
    </row>
    <row r="4491" spans="27:35" ht="18">
      <c r="AA4491" s="116"/>
      <c r="AB4491" s="87"/>
      <c r="AC4491" s="116"/>
      <c r="AD4491" s="116"/>
      <c r="AE4491" s="116"/>
      <c r="AF4491" s="116"/>
      <c r="AG4491" s="116"/>
      <c r="AH4491" s="116"/>
      <c r="AI4491" s="116"/>
    </row>
    <row r="4492" spans="27:35" ht="18">
      <c r="AA4492" s="116"/>
      <c r="AB4492" s="87"/>
      <c r="AC4492" s="116"/>
      <c r="AD4492" s="116"/>
      <c r="AE4492" s="116"/>
      <c r="AF4492" s="116"/>
      <c r="AG4492" s="116"/>
      <c r="AH4492" s="116"/>
      <c r="AI4492" s="116"/>
    </row>
    <row r="4493" spans="27:35" ht="18">
      <c r="AA4493" s="116"/>
      <c r="AB4493" s="87"/>
      <c r="AC4493" s="116"/>
      <c r="AD4493" s="116"/>
      <c r="AE4493" s="116"/>
      <c r="AF4493" s="116"/>
      <c r="AG4493" s="116"/>
      <c r="AH4493" s="116"/>
      <c r="AI4493" s="116"/>
    </row>
    <row r="4494" spans="27:35" ht="18">
      <c r="AA4494" s="116"/>
      <c r="AB4494" s="87"/>
      <c r="AC4494" s="116"/>
      <c r="AD4494" s="116"/>
      <c r="AE4494" s="116"/>
      <c r="AF4494" s="116"/>
      <c r="AG4494" s="116"/>
      <c r="AH4494" s="116"/>
      <c r="AI4494" s="116"/>
    </row>
    <row r="4495" spans="27:35" ht="18">
      <c r="AA4495" s="116"/>
      <c r="AB4495" s="184"/>
      <c r="AC4495" s="116"/>
      <c r="AD4495" s="116"/>
      <c r="AE4495" s="116"/>
      <c r="AF4495" s="116"/>
      <c r="AG4495" s="116"/>
      <c r="AH4495" s="116"/>
      <c r="AI4495" s="116"/>
    </row>
    <row r="4496" spans="27:35" ht="18">
      <c r="AA4496" s="116"/>
      <c r="AB4496" s="87"/>
      <c r="AC4496" s="116"/>
      <c r="AD4496" s="116"/>
      <c r="AE4496" s="116"/>
      <c r="AF4496" s="116"/>
      <c r="AG4496" s="116"/>
      <c r="AH4496" s="116"/>
      <c r="AI4496" s="116"/>
    </row>
    <row r="4497" spans="27:35" ht="18">
      <c r="AA4497" s="116"/>
      <c r="AB4497" s="87"/>
      <c r="AC4497" s="116"/>
      <c r="AD4497" s="116"/>
      <c r="AE4497" s="116"/>
      <c r="AF4497" s="116"/>
      <c r="AG4497" s="116"/>
      <c r="AH4497" s="116"/>
      <c r="AI4497" s="116"/>
    </row>
    <row r="4498" spans="27:35" ht="18">
      <c r="AA4498" s="116"/>
      <c r="AB4498" s="87"/>
      <c r="AC4498" s="116"/>
      <c r="AD4498" s="116"/>
      <c r="AE4498" s="116"/>
      <c r="AF4498" s="116"/>
      <c r="AG4498" s="116"/>
      <c r="AH4498" s="116"/>
      <c r="AI4498" s="116"/>
    </row>
    <row r="4499" spans="27:35" ht="18">
      <c r="AA4499" s="116"/>
      <c r="AB4499" s="87"/>
      <c r="AC4499" s="116"/>
      <c r="AD4499" s="116"/>
      <c r="AE4499" s="116"/>
      <c r="AF4499" s="116"/>
      <c r="AG4499" s="116"/>
      <c r="AH4499" s="116"/>
      <c r="AI4499" s="116"/>
    </row>
    <row r="4500" spans="27:35" ht="18">
      <c r="AA4500" s="116"/>
      <c r="AB4500" s="87"/>
      <c r="AC4500" s="116"/>
      <c r="AD4500" s="116"/>
      <c r="AE4500" s="116"/>
      <c r="AF4500" s="116"/>
      <c r="AG4500" s="116"/>
      <c r="AH4500" s="116"/>
      <c r="AI4500" s="116"/>
    </row>
    <row r="4501" spans="27:35" ht="18">
      <c r="AA4501" s="116"/>
      <c r="AB4501" s="87"/>
      <c r="AC4501" s="116"/>
      <c r="AD4501" s="116"/>
      <c r="AE4501" s="116"/>
      <c r="AF4501" s="116"/>
      <c r="AG4501" s="116"/>
      <c r="AH4501" s="116"/>
      <c r="AI4501" s="116"/>
    </row>
    <row r="4502" spans="27:35" ht="18">
      <c r="AA4502" s="116"/>
      <c r="AB4502" s="87"/>
      <c r="AC4502" s="116"/>
      <c r="AD4502" s="116"/>
      <c r="AE4502" s="116"/>
      <c r="AF4502" s="116"/>
      <c r="AG4502" s="116"/>
      <c r="AH4502" s="116"/>
      <c r="AI4502" s="116"/>
    </row>
    <row r="4503" spans="27:35" ht="18">
      <c r="AA4503" s="116"/>
      <c r="AB4503" s="184"/>
      <c r="AC4503" s="116"/>
      <c r="AD4503" s="116"/>
      <c r="AE4503" s="116"/>
      <c r="AF4503" s="116"/>
      <c r="AG4503" s="116"/>
      <c r="AH4503" s="116"/>
      <c r="AI4503" s="116"/>
    </row>
    <row r="4504" spans="27:35" ht="18">
      <c r="AA4504" s="116"/>
      <c r="AB4504" s="184"/>
      <c r="AC4504" s="116"/>
      <c r="AD4504" s="116"/>
      <c r="AE4504" s="116"/>
      <c r="AF4504" s="116"/>
      <c r="AG4504" s="116"/>
      <c r="AH4504" s="116"/>
      <c r="AI4504" s="116"/>
    </row>
    <row r="4505" spans="27:35" ht="18">
      <c r="AA4505" s="116"/>
      <c r="AB4505" s="87"/>
      <c r="AC4505" s="116"/>
      <c r="AD4505" s="116"/>
      <c r="AE4505" s="116"/>
      <c r="AF4505" s="116"/>
      <c r="AG4505" s="116"/>
      <c r="AH4505" s="116"/>
      <c r="AI4505" s="116"/>
    </row>
    <row r="4506" spans="27:35" ht="18">
      <c r="AA4506" s="116"/>
      <c r="AB4506" s="87"/>
      <c r="AC4506" s="116"/>
      <c r="AD4506" s="116"/>
      <c r="AE4506" s="116"/>
      <c r="AF4506" s="116"/>
      <c r="AG4506" s="116"/>
      <c r="AH4506" s="116"/>
      <c r="AI4506" s="116"/>
    </row>
    <row r="4507" spans="27:35" ht="18">
      <c r="AA4507" s="116"/>
      <c r="AB4507" s="87"/>
      <c r="AC4507" s="116"/>
      <c r="AD4507" s="116"/>
      <c r="AE4507" s="116"/>
      <c r="AF4507" s="116"/>
      <c r="AG4507" s="116"/>
      <c r="AH4507" s="116"/>
      <c r="AI4507" s="116"/>
    </row>
    <row r="4508" spans="27:35" ht="18">
      <c r="AA4508" s="116"/>
      <c r="AB4508" s="87"/>
      <c r="AC4508" s="116"/>
      <c r="AD4508" s="116"/>
      <c r="AE4508" s="116"/>
      <c r="AF4508" s="116"/>
      <c r="AG4508" s="116"/>
      <c r="AH4508" s="116"/>
      <c r="AI4508" s="116"/>
    </row>
    <row r="4509" spans="27:35" ht="18">
      <c r="AA4509" s="116"/>
      <c r="AB4509" s="87"/>
      <c r="AC4509" s="116"/>
      <c r="AD4509" s="116"/>
      <c r="AE4509" s="116"/>
      <c r="AF4509" s="116"/>
      <c r="AG4509" s="116"/>
      <c r="AH4509" s="116"/>
      <c r="AI4509" s="116"/>
    </row>
    <row r="4510" spans="27:35" ht="18">
      <c r="AA4510" s="116"/>
      <c r="AB4510" s="87"/>
      <c r="AC4510" s="116"/>
      <c r="AD4510" s="116"/>
      <c r="AE4510" s="116"/>
      <c r="AF4510" s="116"/>
      <c r="AG4510" s="116"/>
      <c r="AH4510" s="116"/>
      <c r="AI4510" s="116"/>
    </row>
    <row r="4511" spans="27:35" ht="18">
      <c r="AA4511" s="116"/>
      <c r="AB4511" s="87"/>
      <c r="AC4511" s="116"/>
      <c r="AD4511" s="116"/>
      <c r="AE4511" s="116"/>
      <c r="AF4511" s="116"/>
      <c r="AG4511" s="116"/>
      <c r="AH4511" s="116"/>
      <c r="AI4511" s="116"/>
    </row>
    <row r="4512" spans="27:35" ht="18">
      <c r="AA4512" s="116"/>
      <c r="AB4512" s="87"/>
      <c r="AC4512" s="116"/>
      <c r="AD4512" s="116"/>
      <c r="AE4512" s="116"/>
      <c r="AF4512" s="116"/>
      <c r="AG4512" s="116"/>
      <c r="AH4512" s="116"/>
      <c r="AI4512" s="116"/>
    </row>
    <row r="4513" spans="27:35" ht="18">
      <c r="AA4513" s="116"/>
      <c r="AB4513" s="87"/>
      <c r="AC4513" s="116"/>
      <c r="AD4513" s="116"/>
      <c r="AE4513" s="116"/>
      <c r="AF4513" s="116"/>
      <c r="AG4513" s="116"/>
      <c r="AH4513" s="116"/>
      <c r="AI4513" s="116"/>
    </row>
    <row r="4514" spans="27:35" ht="18">
      <c r="AA4514" s="116"/>
      <c r="AB4514" s="87"/>
      <c r="AC4514" s="116"/>
      <c r="AD4514" s="116"/>
      <c r="AE4514" s="116"/>
      <c r="AF4514" s="116"/>
      <c r="AG4514" s="116"/>
      <c r="AH4514" s="116"/>
      <c r="AI4514" s="116"/>
    </row>
    <row r="4515" spans="27:35" ht="18">
      <c r="AA4515" s="116"/>
      <c r="AB4515" s="87"/>
      <c r="AC4515" s="116"/>
      <c r="AD4515" s="116"/>
      <c r="AE4515" s="116"/>
      <c r="AF4515" s="116"/>
      <c r="AG4515" s="116"/>
      <c r="AH4515" s="116"/>
      <c r="AI4515" s="116"/>
    </row>
    <row r="4516" spans="27:35" ht="18">
      <c r="AA4516" s="116"/>
      <c r="AB4516" s="87"/>
      <c r="AC4516" s="116"/>
      <c r="AD4516" s="116"/>
      <c r="AE4516" s="116"/>
      <c r="AF4516" s="116"/>
      <c r="AG4516" s="116"/>
      <c r="AH4516" s="116"/>
      <c r="AI4516" s="116"/>
    </row>
    <row r="4517" spans="27:35" ht="18">
      <c r="AA4517" s="116"/>
      <c r="AB4517" s="87"/>
      <c r="AC4517" s="116"/>
      <c r="AD4517" s="116"/>
      <c r="AE4517" s="116"/>
      <c r="AF4517" s="116"/>
      <c r="AG4517" s="116"/>
      <c r="AH4517" s="116"/>
      <c r="AI4517" s="116"/>
    </row>
    <row r="4518" spans="27:35" ht="18">
      <c r="AA4518" s="116"/>
      <c r="AB4518" s="87"/>
      <c r="AC4518" s="116"/>
      <c r="AD4518" s="116"/>
      <c r="AE4518" s="116"/>
      <c r="AF4518" s="116"/>
      <c r="AG4518" s="116"/>
      <c r="AH4518" s="116"/>
      <c r="AI4518" s="116"/>
    </row>
    <row r="4519" spans="27:35" ht="18">
      <c r="AA4519" s="116"/>
      <c r="AB4519" s="184"/>
      <c r="AC4519" s="116"/>
      <c r="AD4519" s="116"/>
      <c r="AE4519" s="116"/>
      <c r="AF4519" s="116"/>
      <c r="AG4519" s="116"/>
      <c r="AH4519" s="116"/>
      <c r="AI4519" s="116"/>
    </row>
    <row r="4520" spans="27:35" ht="18">
      <c r="AA4520" s="116"/>
      <c r="AB4520" s="87"/>
      <c r="AC4520" s="116"/>
      <c r="AD4520" s="116"/>
      <c r="AE4520" s="116"/>
      <c r="AF4520" s="116"/>
      <c r="AG4520" s="116"/>
      <c r="AH4520" s="116"/>
      <c r="AI4520" s="116"/>
    </row>
    <row r="4521" spans="27:35" ht="18">
      <c r="AA4521" s="116"/>
      <c r="AB4521" s="87"/>
      <c r="AC4521" s="116"/>
      <c r="AD4521" s="116"/>
      <c r="AE4521" s="116"/>
      <c r="AF4521" s="116"/>
      <c r="AG4521" s="116"/>
      <c r="AH4521" s="116"/>
      <c r="AI4521" s="116"/>
    </row>
    <row r="4522" spans="27:35" ht="18">
      <c r="AA4522" s="116"/>
      <c r="AB4522" s="87"/>
      <c r="AC4522" s="116"/>
      <c r="AD4522" s="116"/>
      <c r="AE4522" s="116"/>
      <c r="AF4522" s="116"/>
      <c r="AG4522" s="116"/>
      <c r="AH4522" s="116"/>
      <c r="AI4522" s="116"/>
    </row>
    <row r="4523" spans="27:35" ht="18">
      <c r="AA4523" s="116"/>
      <c r="AB4523" s="87"/>
      <c r="AC4523" s="116"/>
      <c r="AD4523" s="116"/>
      <c r="AE4523" s="116"/>
      <c r="AF4523" s="116"/>
      <c r="AG4523" s="116"/>
      <c r="AH4523" s="116"/>
      <c r="AI4523" s="116"/>
    </row>
    <row r="4524" spans="27:35" ht="18">
      <c r="AA4524" s="116"/>
      <c r="AB4524" s="87"/>
      <c r="AC4524" s="116"/>
      <c r="AD4524" s="116"/>
      <c r="AE4524" s="116"/>
      <c r="AF4524" s="116"/>
      <c r="AG4524" s="116"/>
      <c r="AH4524" s="116"/>
      <c r="AI4524" s="116"/>
    </row>
    <row r="4525" spans="27:35" ht="18">
      <c r="AA4525" s="116"/>
      <c r="AB4525" s="87"/>
      <c r="AC4525" s="116"/>
      <c r="AD4525" s="116"/>
      <c r="AE4525" s="116"/>
      <c r="AF4525" s="116"/>
      <c r="AG4525" s="116"/>
      <c r="AH4525" s="116"/>
      <c r="AI4525" s="116"/>
    </row>
    <row r="4526" spans="27:35" ht="18">
      <c r="AA4526" s="116"/>
      <c r="AB4526" s="87"/>
      <c r="AC4526" s="116"/>
      <c r="AD4526" s="116"/>
      <c r="AE4526" s="116"/>
      <c r="AF4526" s="116"/>
      <c r="AG4526" s="116"/>
      <c r="AH4526" s="116"/>
      <c r="AI4526" s="116"/>
    </row>
    <row r="4527" spans="27:35" ht="18">
      <c r="AA4527" s="116"/>
      <c r="AB4527" s="87"/>
      <c r="AC4527" s="116"/>
      <c r="AD4527" s="116"/>
      <c r="AE4527" s="116"/>
      <c r="AF4527" s="116"/>
      <c r="AG4527" s="116"/>
      <c r="AH4527" s="116"/>
      <c r="AI4527" s="116"/>
    </row>
    <row r="4528" spans="27:35" ht="18">
      <c r="AA4528" s="116"/>
      <c r="AB4528" s="87"/>
      <c r="AC4528" s="116"/>
      <c r="AD4528" s="116"/>
      <c r="AE4528" s="116"/>
      <c r="AF4528" s="116"/>
      <c r="AG4528" s="116"/>
      <c r="AH4528" s="116"/>
      <c r="AI4528" s="116"/>
    </row>
    <row r="4529" spans="27:35" ht="18">
      <c r="AA4529" s="116"/>
      <c r="AB4529" s="87"/>
      <c r="AC4529" s="116"/>
      <c r="AD4529" s="116"/>
      <c r="AE4529" s="116"/>
      <c r="AF4529" s="116"/>
      <c r="AG4529" s="116"/>
      <c r="AH4529" s="116"/>
      <c r="AI4529" s="116"/>
    </row>
    <row r="4530" spans="27:35" ht="18">
      <c r="AA4530" s="116"/>
      <c r="AB4530" s="87"/>
      <c r="AC4530" s="116"/>
      <c r="AD4530" s="116"/>
      <c r="AE4530" s="116"/>
      <c r="AF4530" s="116"/>
      <c r="AG4530" s="116"/>
      <c r="AH4530" s="116"/>
      <c r="AI4530" s="116"/>
    </row>
    <row r="4531" spans="27:35" ht="18">
      <c r="AA4531" s="116"/>
      <c r="AB4531" s="87"/>
      <c r="AC4531" s="116"/>
      <c r="AD4531" s="116"/>
      <c r="AE4531" s="116"/>
      <c r="AF4531" s="116"/>
      <c r="AG4531" s="116"/>
      <c r="AH4531" s="116"/>
      <c r="AI4531" s="116"/>
    </row>
    <row r="4532" spans="27:35" ht="18">
      <c r="AA4532" s="116"/>
      <c r="AB4532" s="87"/>
      <c r="AC4532" s="116"/>
      <c r="AD4532" s="116"/>
      <c r="AE4532" s="116"/>
      <c r="AF4532" s="116"/>
      <c r="AG4532" s="116"/>
      <c r="AH4532" s="116"/>
      <c r="AI4532" s="116"/>
    </row>
    <row r="4533" spans="27:35" ht="18">
      <c r="AA4533" s="116"/>
      <c r="AB4533" s="87"/>
      <c r="AC4533" s="116"/>
      <c r="AD4533" s="116"/>
      <c r="AE4533" s="116"/>
      <c r="AF4533" s="116"/>
      <c r="AG4533" s="116"/>
      <c r="AH4533" s="116"/>
      <c r="AI4533" s="116"/>
    </row>
    <row r="4534" spans="27:35" ht="18">
      <c r="AA4534" s="116"/>
      <c r="AB4534" s="87"/>
      <c r="AC4534" s="116"/>
      <c r="AD4534" s="116"/>
      <c r="AE4534" s="116"/>
      <c r="AF4534" s="116"/>
      <c r="AG4534" s="116"/>
      <c r="AH4534" s="116"/>
      <c r="AI4534" s="116"/>
    </row>
    <row r="4535" spans="27:35" ht="18">
      <c r="AA4535" s="116"/>
      <c r="AB4535" s="87"/>
      <c r="AC4535" s="116"/>
      <c r="AD4535" s="116"/>
      <c r="AE4535" s="116"/>
      <c r="AF4535" s="116"/>
      <c r="AG4535" s="116"/>
      <c r="AH4535" s="116"/>
      <c r="AI4535" s="116"/>
    </row>
    <row r="4536" spans="27:35" ht="18">
      <c r="AA4536" s="116"/>
      <c r="AB4536" s="87"/>
      <c r="AC4536" s="116"/>
      <c r="AD4536" s="116"/>
      <c r="AE4536" s="116"/>
      <c r="AF4536" s="116"/>
      <c r="AG4536" s="116"/>
      <c r="AH4536" s="116"/>
      <c r="AI4536" s="116"/>
    </row>
    <row r="4537" spans="27:35" ht="18">
      <c r="AA4537" s="116"/>
      <c r="AB4537" s="87"/>
      <c r="AC4537" s="116"/>
      <c r="AD4537" s="116"/>
      <c r="AE4537" s="116"/>
      <c r="AF4537" s="116"/>
      <c r="AG4537" s="116"/>
      <c r="AH4537" s="116"/>
      <c r="AI4537" s="116"/>
    </row>
    <row r="4538" spans="27:35" ht="18">
      <c r="AA4538" s="116"/>
      <c r="AB4538" s="87"/>
      <c r="AC4538" s="116"/>
      <c r="AD4538" s="116"/>
      <c r="AE4538" s="116"/>
      <c r="AF4538" s="116"/>
      <c r="AG4538" s="116"/>
      <c r="AH4538" s="116"/>
      <c r="AI4538" s="116"/>
    </row>
    <row r="4539" spans="27:35" ht="18">
      <c r="AA4539" s="116"/>
      <c r="AB4539" s="87"/>
      <c r="AC4539" s="116"/>
      <c r="AD4539" s="116"/>
      <c r="AE4539" s="116"/>
      <c r="AF4539" s="116"/>
      <c r="AG4539" s="116"/>
      <c r="AH4539" s="116"/>
      <c r="AI4539" s="116"/>
    </row>
    <row r="4540" spans="27:35" ht="18">
      <c r="AA4540" s="116"/>
      <c r="AB4540" s="87"/>
      <c r="AC4540" s="116"/>
      <c r="AD4540" s="116"/>
      <c r="AE4540" s="116"/>
      <c r="AF4540" s="116"/>
      <c r="AG4540" s="116"/>
      <c r="AH4540" s="116"/>
      <c r="AI4540" s="116"/>
    </row>
    <row r="4541" spans="27:35" ht="18">
      <c r="AA4541" s="116"/>
      <c r="AB4541" s="87"/>
      <c r="AC4541" s="116"/>
      <c r="AD4541" s="116"/>
      <c r="AE4541" s="116"/>
      <c r="AF4541" s="116"/>
      <c r="AG4541" s="116"/>
      <c r="AH4541" s="116"/>
      <c r="AI4541" s="116"/>
    </row>
    <row r="4542" spans="27:35" ht="18">
      <c r="AA4542" s="116"/>
      <c r="AB4542" s="87"/>
      <c r="AC4542" s="116"/>
      <c r="AD4542" s="116"/>
      <c r="AE4542" s="116"/>
      <c r="AF4542" s="116"/>
      <c r="AG4542" s="116"/>
      <c r="AH4542" s="116"/>
      <c r="AI4542" s="116"/>
    </row>
    <row r="4543" spans="27:35" ht="18">
      <c r="AA4543" s="116"/>
      <c r="AB4543" s="87"/>
      <c r="AC4543" s="116"/>
      <c r="AD4543" s="116"/>
      <c r="AE4543" s="116"/>
      <c r="AF4543" s="116"/>
      <c r="AG4543" s="116"/>
      <c r="AH4543" s="116"/>
      <c r="AI4543" s="116"/>
    </row>
    <row r="4544" spans="27:35" ht="18">
      <c r="AA4544" s="116"/>
      <c r="AB4544" s="87"/>
      <c r="AC4544" s="116"/>
      <c r="AD4544" s="116"/>
      <c r="AE4544" s="116"/>
      <c r="AF4544" s="116"/>
      <c r="AG4544" s="116"/>
      <c r="AH4544" s="116"/>
      <c r="AI4544" s="116"/>
    </row>
    <row r="4545" spans="27:35" ht="18">
      <c r="AA4545" s="116"/>
      <c r="AB4545" s="87"/>
      <c r="AC4545" s="116"/>
      <c r="AD4545" s="116"/>
      <c r="AE4545" s="116"/>
      <c r="AF4545" s="116"/>
      <c r="AG4545" s="116"/>
      <c r="AH4545" s="116"/>
      <c r="AI4545" s="116"/>
    </row>
    <row r="4546" spans="27:35" ht="18">
      <c r="AA4546" s="116"/>
      <c r="AB4546" s="87"/>
      <c r="AC4546" s="116"/>
      <c r="AD4546" s="116"/>
      <c r="AE4546" s="116"/>
      <c r="AF4546" s="116"/>
      <c r="AG4546" s="116"/>
      <c r="AH4546" s="116"/>
      <c r="AI4546" s="116"/>
    </row>
    <row r="4547" spans="27:35" ht="18">
      <c r="AA4547" s="116"/>
      <c r="AB4547" s="87"/>
      <c r="AC4547" s="116"/>
      <c r="AD4547" s="116"/>
      <c r="AE4547" s="116"/>
      <c r="AF4547" s="116"/>
      <c r="AG4547" s="116"/>
      <c r="AH4547" s="116"/>
      <c r="AI4547" s="116"/>
    </row>
    <row r="4548" spans="27:35" ht="18">
      <c r="AA4548" s="116"/>
      <c r="AB4548" s="87"/>
      <c r="AC4548" s="116"/>
      <c r="AD4548" s="116"/>
      <c r="AE4548" s="116"/>
      <c r="AF4548" s="116"/>
      <c r="AG4548" s="116"/>
      <c r="AH4548" s="116"/>
      <c r="AI4548" s="116"/>
    </row>
    <row r="4549" spans="27:35" ht="18">
      <c r="AA4549" s="116"/>
      <c r="AB4549" s="184"/>
      <c r="AC4549" s="116"/>
      <c r="AD4549" s="116"/>
      <c r="AE4549" s="116"/>
      <c r="AF4549" s="116"/>
      <c r="AG4549" s="116"/>
      <c r="AH4549" s="116"/>
      <c r="AI4549" s="116"/>
    </row>
    <row r="4550" spans="27:35" ht="18">
      <c r="AA4550" s="116"/>
      <c r="AB4550" s="87"/>
      <c r="AC4550" s="116"/>
      <c r="AD4550" s="116"/>
      <c r="AE4550" s="116"/>
      <c r="AF4550" s="116"/>
      <c r="AG4550" s="116"/>
      <c r="AH4550" s="116"/>
      <c r="AI4550" s="116"/>
    </row>
    <row r="4551" spans="27:35" ht="18">
      <c r="AA4551" s="116"/>
      <c r="AB4551" s="87"/>
      <c r="AC4551" s="116"/>
      <c r="AD4551" s="116"/>
      <c r="AE4551" s="116"/>
      <c r="AF4551" s="116"/>
      <c r="AG4551" s="116"/>
      <c r="AH4551" s="116"/>
      <c r="AI4551" s="116"/>
    </row>
    <row r="4552" spans="27:35" ht="18">
      <c r="AA4552" s="116"/>
      <c r="AB4552" s="87"/>
      <c r="AC4552" s="116"/>
      <c r="AD4552" s="116"/>
      <c r="AE4552" s="116"/>
      <c r="AF4552" s="116"/>
      <c r="AG4552" s="116"/>
      <c r="AH4552" s="116"/>
      <c r="AI4552" s="116"/>
    </row>
    <row r="4553" spans="27:35" ht="18">
      <c r="AA4553" s="116"/>
      <c r="AB4553" s="87"/>
      <c r="AC4553" s="116"/>
      <c r="AD4553" s="116"/>
      <c r="AE4553" s="116"/>
      <c r="AF4553" s="116"/>
      <c r="AG4553" s="116"/>
      <c r="AH4553" s="116"/>
      <c r="AI4553" s="116"/>
    </row>
    <row r="4554" spans="27:35" ht="18">
      <c r="AA4554" s="116"/>
      <c r="AB4554" s="87"/>
      <c r="AC4554" s="116"/>
      <c r="AD4554" s="116"/>
      <c r="AE4554" s="116"/>
      <c r="AF4554" s="116"/>
      <c r="AG4554" s="116"/>
      <c r="AH4554" s="116"/>
      <c r="AI4554" s="116"/>
    </row>
    <row r="4555" spans="27:35" ht="18">
      <c r="AA4555" s="116"/>
      <c r="AB4555" s="87"/>
      <c r="AC4555" s="116"/>
      <c r="AD4555" s="116"/>
      <c r="AE4555" s="116"/>
      <c r="AF4555" s="116"/>
      <c r="AG4555" s="116"/>
      <c r="AH4555" s="116"/>
      <c r="AI4555" s="116"/>
    </row>
    <row r="4556" spans="27:35" ht="18">
      <c r="AA4556" s="116"/>
      <c r="AB4556" s="87"/>
      <c r="AC4556" s="116"/>
      <c r="AD4556" s="116"/>
      <c r="AE4556" s="116"/>
      <c r="AF4556" s="116"/>
      <c r="AG4556" s="116"/>
      <c r="AH4556" s="116"/>
      <c r="AI4556" s="116"/>
    </row>
    <row r="4557" spans="27:35" ht="18">
      <c r="AA4557" s="116"/>
      <c r="AB4557" s="87"/>
      <c r="AC4557" s="116"/>
      <c r="AD4557" s="116"/>
      <c r="AE4557" s="116"/>
      <c r="AF4557" s="116"/>
      <c r="AG4557" s="116"/>
      <c r="AH4557" s="116"/>
      <c r="AI4557" s="116"/>
    </row>
    <row r="4558" spans="27:35" ht="18">
      <c r="AA4558" s="116"/>
      <c r="AB4558" s="87"/>
      <c r="AC4558" s="116"/>
      <c r="AD4558" s="116"/>
      <c r="AE4558" s="116"/>
      <c r="AF4558" s="116"/>
      <c r="AG4558" s="116"/>
      <c r="AH4558" s="116"/>
      <c r="AI4558" s="116"/>
    </row>
    <row r="4559" spans="27:35" ht="18">
      <c r="AA4559" s="116"/>
      <c r="AB4559" s="87"/>
      <c r="AC4559" s="116"/>
      <c r="AD4559" s="116"/>
      <c r="AE4559" s="116"/>
      <c r="AF4559" s="116"/>
      <c r="AG4559" s="116"/>
      <c r="AH4559" s="116"/>
      <c r="AI4559" s="116"/>
    </row>
    <row r="4560" spans="27:35" ht="18">
      <c r="AA4560" s="116"/>
      <c r="AB4560" s="87"/>
      <c r="AC4560" s="116"/>
      <c r="AD4560" s="116"/>
      <c r="AE4560" s="116"/>
      <c r="AF4560" s="116"/>
      <c r="AG4560" s="116"/>
      <c r="AH4560" s="116"/>
      <c r="AI4560" s="116"/>
    </row>
    <row r="4561" spans="27:35" ht="18">
      <c r="AA4561" s="116"/>
      <c r="AB4561" s="87"/>
      <c r="AC4561" s="116"/>
      <c r="AD4561" s="116"/>
      <c r="AE4561" s="116"/>
      <c r="AF4561" s="116"/>
      <c r="AG4561" s="116"/>
      <c r="AH4561" s="116"/>
      <c r="AI4561" s="116"/>
    </row>
    <row r="4562" spans="27:35" ht="18">
      <c r="AA4562" s="116"/>
      <c r="AB4562" s="87"/>
      <c r="AC4562" s="116"/>
      <c r="AD4562" s="116"/>
      <c r="AE4562" s="116"/>
      <c r="AF4562" s="116"/>
      <c r="AG4562" s="116"/>
      <c r="AH4562" s="116"/>
      <c r="AI4562" s="116"/>
    </row>
    <row r="4563" spans="27:35" ht="18">
      <c r="AA4563" s="116"/>
      <c r="AB4563" s="87"/>
      <c r="AC4563" s="116"/>
      <c r="AD4563" s="116"/>
      <c r="AE4563" s="116"/>
      <c r="AF4563" s="116"/>
      <c r="AG4563" s="116"/>
      <c r="AH4563" s="116"/>
      <c r="AI4563" s="116"/>
    </row>
    <row r="4564" spans="27:35" ht="18">
      <c r="AA4564" s="116"/>
      <c r="AB4564" s="87"/>
      <c r="AC4564" s="116"/>
      <c r="AD4564" s="116"/>
      <c r="AE4564" s="116"/>
      <c r="AF4564" s="116"/>
      <c r="AG4564" s="116"/>
      <c r="AH4564" s="116"/>
      <c r="AI4564" s="116"/>
    </row>
    <row r="4565" spans="27:35" ht="18">
      <c r="AA4565" s="116"/>
      <c r="AB4565" s="87"/>
      <c r="AC4565" s="116"/>
      <c r="AD4565" s="116"/>
      <c r="AE4565" s="116"/>
      <c r="AF4565" s="116"/>
      <c r="AG4565" s="116"/>
      <c r="AH4565" s="116"/>
      <c r="AI4565" s="116"/>
    </row>
    <row r="4566" spans="27:35" ht="18">
      <c r="AA4566" s="116"/>
      <c r="AB4566" s="87"/>
      <c r="AC4566" s="116"/>
      <c r="AD4566" s="116"/>
      <c r="AE4566" s="116"/>
      <c r="AF4566" s="116"/>
      <c r="AG4566" s="116"/>
      <c r="AH4566" s="116"/>
      <c r="AI4566" s="116"/>
    </row>
    <row r="4567" spans="27:35" ht="18">
      <c r="AA4567" s="116"/>
      <c r="AB4567" s="87"/>
      <c r="AC4567" s="116"/>
      <c r="AD4567" s="116"/>
      <c r="AE4567" s="116"/>
      <c r="AF4567" s="116"/>
      <c r="AG4567" s="116"/>
      <c r="AH4567" s="116"/>
      <c r="AI4567" s="116"/>
    </row>
    <row r="4568" spans="27:35" ht="18">
      <c r="AA4568" s="116"/>
      <c r="AB4568" s="87"/>
      <c r="AC4568" s="116"/>
      <c r="AD4568" s="116"/>
      <c r="AE4568" s="116"/>
      <c r="AF4568" s="116"/>
      <c r="AG4568" s="116"/>
      <c r="AH4568" s="116"/>
      <c r="AI4568" s="116"/>
    </row>
    <row r="4569" spans="27:35" ht="18">
      <c r="AA4569" s="116"/>
      <c r="AB4569" s="87"/>
      <c r="AC4569" s="116"/>
      <c r="AD4569" s="116"/>
      <c r="AE4569" s="116"/>
      <c r="AF4569" s="116"/>
      <c r="AG4569" s="116"/>
      <c r="AH4569" s="116"/>
      <c r="AI4569" s="116"/>
    </row>
    <row r="4570" spans="27:35" ht="18">
      <c r="AA4570" s="116"/>
      <c r="AB4570" s="87"/>
      <c r="AC4570" s="116"/>
      <c r="AD4570" s="116"/>
      <c r="AE4570" s="116"/>
      <c r="AF4570" s="116"/>
      <c r="AG4570" s="116"/>
      <c r="AH4570" s="116"/>
      <c r="AI4570" s="116"/>
    </row>
    <row r="4571" spans="27:35" ht="18">
      <c r="AA4571" s="116"/>
      <c r="AB4571" s="87"/>
      <c r="AC4571" s="116"/>
      <c r="AD4571" s="116"/>
      <c r="AE4571" s="116"/>
      <c r="AF4571" s="116"/>
      <c r="AG4571" s="116"/>
      <c r="AH4571" s="116"/>
      <c r="AI4571" s="116"/>
    </row>
    <row r="4572" spans="27:35" ht="18">
      <c r="AA4572" s="116"/>
      <c r="AB4572" s="87"/>
      <c r="AC4572" s="116"/>
      <c r="AD4572" s="116"/>
      <c r="AE4572" s="116"/>
      <c r="AF4572" s="116"/>
      <c r="AG4572" s="116"/>
      <c r="AH4572" s="116"/>
      <c r="AI4572" s="116"/>
    </row>
    <row r="4573" spans="27:35" ht="18">
      <c r="AA4573" s="116"/>
      <c r="AB4573" s="87"/>
      <c r="AC4573" s="116"/>
      <c r="AD4573" s="116"/>
      <c r="AE4573" s="116"/>
      <c r="AF4573" s="116"/>
      <c r="AG4573" s="116"/>
      <c r="AH4573" s="116"/>
      <c r="AI4573" s="116"/>
    </row>
    <row r="4574" spans="27:35" ht="18">
      <c r="AA4574" s="116"/>
      <c r="AB4574" s="87"/>
      <c r="AC4574" s="116"/>
      <c r="AD4574" s="116"/>
      <c r="AE4574" s="116"/>
      <c r="AF4574" s="116"/>
      <c r="AG4574" s="116"/>
      <c r="AH4574" s="116"/>
      <c r="AI4574" s="116"/>
    </row>
    <row r="4575" spans="27:35" ht="18">
      <c r="AA4575" s="116"/>
      <c r="AB4575" s="87"/>
      <c r="AC4575" s="116"/>
      <c r="AD4575" s="116"/>
      <c r="AE4575" s="116"/>
      <c r="AF4575" s="116"/>
      <c r="AG4575" s="116"/>
      <c r="AH4575" s="116"/>
      <c r="AI4575" s="116"/>
    </row>
    <row r="4576" spans="27:35" ht="18">
      <c r="AA4576" s="116"/>
      <c r="AB4576" s="87"/>
      <c r="AC4576" s="116"/>
      <c r="AD4576" s="116"/>
      <c r="AE4576" s="116"/>
      <c r="AF4576" s="116"/>
      <c r="AG4576" s="116"/>
      <c r="AH4576" s="116"/>
      <c r="AI4576" s="116"/>
    </row>
    <row r="4577" spans="27:35" ht="18">
      <c r="AA4577" s="116"/>
      <c r="AB4577" s="87"/>
      <c r="AC4577" s="116"/>
      <c r="AD4577" s="116"/>
      <c r="AE4577" s="116"/>
      <c r="AF4577" s="116"/>
      <c r="AG4577" s="116"/>
      <c r="AH4577" s="116"/>
      <c r="AI4577" s="116"/>
    </row>
    <row r="4578" spans="27:35" ht="18">
      <c r="AA4578" s="116"/>
      <c r="AB4578" s="87"/>
      <c r="AC4578" s="116"/>
      <c r="AD4578" s="116"/>
      <c r="AE4578" s="116"/>
      <c r="AF4578" s="116"/>
      <c r="AG4578" s="116"/>
      <c r="AH4578" s="116"/>
      <c r="AI4578" s="116"/>
    </row>
    <row r="4579" spans="27:35" ht="18">
      <c r="AA4579" s="116"/>
      <c r="AB4579" s="87"/>
      <c r="AC4579" s="116"/>
      <c r="AD4579" s="116"/>
      <c r="AE4579" s="116"/>
      <c r="AF4579" s="116"/>
      <c r="AG4579" s="116"/>
      <c r="AH4579" s="116"/>
      <c r="AI4579" s="116"/>
    </row>
    <row r="4580" spans="27:35" ht="18">
      <c r="AA4580" s="116"/>
      <c r="AB4580" s="87"/>
      <c r="AC4580" s="116"/>
      <c r="AD4580" s="116"/>
      <c r="AE4580" s="116"/>
      <c r="AF4580" s="116"/>
      <c r="AG4580" s="116"/>
      <c r="AH4580" s="116"/>
      <c r="AI4580" s="116"/>
    </row>
    <row r="4581" spans="27:35" ht="18">
      <c r="AA4581" s="116"/>
      <c r="AB4581" s="87"/>
      <c r="AC4581" s="116"/>
      <c r="AD4581" s="116"/>
      <c r="AE4581" s="116"/>
      <c r="AF4581" s="116"/>
      <c r="AG4581" s="116"/>
      <c r="AH4581" s="116"/>
      <c r="AI4581" s="116"/>
    </row>
    <row r="4582" spans="27:35" ht="18">
      <c r="AA4582" s="116"/>
      <c r="AB4582" s="87"/>
      <c r="AC4582" s="116"/>
      <c r="AD4582" s="116"/>
      <c r="AE4582" s="116"/>
      <c r="AF4582" s="116"/>
      <c r="AG4582" s="116"/>
      <c r="AH4582" s="116"/>
      <c r="AI4582" s="116"/>
    </row>
    <row r="4583" spans="27:35" ht="18">
      <c r="AA4583" s="116"/>
      <c r="AB4583" s="87"/>
      <c r="AC4583" s="116"/>
      <c r="AD4583" s="116"/>
      <c r="AE4583" s="116"/>
      <c r="AF4583" s="116"/>
      <c r="AG4583" s="116"/>
      <c r="AH4583" s="116"/>
      <c r="AI4583" s="116"/>
    </row>
    <row r="4584" spans="27:35" ht="18">
      <c r="AA4584" s="116"/>
      <c r="AB4584" s="87"/>
      <c r="AC4584" s="116"/>
      <c r="AD4584" s="116"/>
      <c r="AE4584" s="116"/>
      <c r="AF4584" s="116"/>
      <c r="AG4584" s="116"/>
      <c r="AH4584" s="116"/>
      <c r="AI4584" s="116"/>
    </row>
    <row r="4585" spans="27:35" ht="18">
      <c r="AA4585" s="116"/>
      <c r="AB4585" s="184"/>
      <c r="AC4585" s="116"/>
      <c r="AD4585" s="116"/>
      <c r="AE4585" s="116"/>
      <c r="AF4585" s="116"/>
      <c r="AG4585" s="116"/>
      <c r="AH4585" s="116"/>
      <c r="AI4585" s="116"/>
    </row>
    <row r="4586" spans="27:35" ht="18">
      <c r="AA4586" s="116"/>
      <c r="AB4586" s="184"/>
      <c r="AC4586" s="116"/>
      <c r="AD4586" s="116"/>
      <c r="AE4586" s="116"/>
      <c r="AF4586" s="116"/>
      <c r="AG4586" s="116"/>
      <c r="AH4586" s="116"/>
      <c r="AI4586" s="116"/>
    </row>
    <row r="4587" spans="27:35" ht="18">
      <c r="AA4587" s="116"/>
      <c r="AB4587" s="87"/>
      <c r="AC4587" s="116"/>
      <c r="AD4587" s="116"/>
      <c r="AE4587" s="116"/>
      <c r="AF4587" s="116"/>
      <c r="AG4587" s="116"/>
      <c r="AH4587" s="116"/>
      <c r="AI4587" s="116"/>
    </row>
    <row r="4588" spans="27:35" ht="18">
      <c r="AA4588" s="116"/>
      <c r="AB4588" s="87"/>
      <c r="AC4588" s="116"/>
      <c r="AD4588" s="116"/>
      <c r="AE4588" s="116"/>
      <c r="AF4588" s="116"/>
      <c r="AG4588" s="116"/>
      <c r="AH4588" s="116"/>
      <c r="AI4588" s="116"/>
    </row>
    <row r="4589" spans="27:35" ht="18">
      <c r="AA4589" s="116"/>
      <c r="AB4589" s="87"/>
      <c r="AC4589" s="116"/>
      <c r="AD4589" s="116"/>
      <c r="AE4589" s="116"/>
      <c r="AF4589" s="116"/>
      <c r="AG4589" s="116"/>
      <c r="AH4589" s="116"/>
      <c r="AI4589" s="116"/>
    </row>
    <row r="4590" spans="27:35" ht="18">
      <c r="AA4590" s="116"/>
      <c r="AB4590" s="87"/>
      <c r="AC4590" s="116"/>
      <c r="AD4590" s="116"/>
      <c r="AE4590" s="116"/>
      <c r="AF4590" s="116"/>
      <c r="AG4590" s="116"/>
      <c r="AH4590" s="116"/>
      <c r="AI4590" s="116"/>
    </row>
    <row r="4591" spans="27:35" ht="18">
      <c r="AA4591" s="116"/>
      <c r="AB4591" s="87"/>
      <c r="AC4591" s="116"/>
      <c r="AD4591" s="116"/>
      <c r="AE4591" s="116"/>
      <c r="AF4591" s="116"/>
      <c r="AG4591" s="116"/>
      <c r="AH4591" s="116"/>
      <c r="AI4591" s="116"/>
    </row>
    <row r="4592" spans="27:35" ht="18">
      <c r="AA4592" s="116"/>
      <c r="AB4592" s="87"/>
      <c r="AC4592" s="116"/>
      <c r="AD4592" s="116"/>
      <c r="AE4592" s="116"/>
      <c r="AF4592" s="116"/>
      <c r="AG4592" s="116"/>
      <c r="AH4592" s="116"/>
      <c r="AI4592" s="116"/>
    </row>
    <row r="4593" spans="27:35" ht="18">
      <c r="AA4593" s="116"/>
      <c r="AB4593" s="87"/>
      <c r="AC4593" s="116"/>
      <c r="AD4593" s="116"/>
      <c r="AE4593" s="116"/>
      <c r="AF4593" s="116"/>
      <c r="AG4593" s="116"/>
      <c r="AH4593" s="116"/>
      <c r="AI4593" s="116"/>
    </row>
    <row r="4594" spans="27:35" ht="18">
      <c r="AA4594" s="116"/>
      <c r="AB4594" s="87"/>
      <c r="AC4594" s="116"/>
      <c r="AD4594" s="116"/>
      <c r="AE4594" s="116"/>
      <c r="AF4594" s="116"/>
      <c r="AG4594" s="116"/>
      <c r="AH4594" s="116"/>
      <c r="AI4594" s="116"/>
    </row>
    <row r="4595" spans="27:35" ht="18">
      <c r="AA4595" s="116"/>
      <c r="AB4595" s="87"/>
      <c r="AC4595" s="116"/>
      <c r="AD4595" s="116"/>
      <c r="AE4595" s="116"/>
      <c r="AF4595" s="116"/>
      <c r="AG4595" s="116"/>
      <c r="AH4595" s="116"/>
      <c r="AI4595" s="116"/>
    </row>
    <row r="4596" spans="27:35" ht="18">
      <c r="AA4596" s="116"/>
      <c r="AB4596" s="184"/>
      <c r="AC4596" s="116"/>
      <c r="AD4596" s="116"/>
      <c r="AE4596" s="116"/>
      <c r="AF4596" s="116"/>
      <c r="AG4596" s="116"/>
      <c r="AH4596" s="116"/>
      <c r="AI4596" s="116"/>
    </row>
    <row r="4597" spans="27:35" ht="18">
      <c r="AA4597" s="116"/>
      <c r="AB4597" s="87"/>
      <c r="AC4597" s="116"/>
      <c r="AD4597" s="116"/>
      <c r="AE4597" s="116"/>
      <c r="AF4597" s="116"/>
      <c r="AG4597" s="116"/>
      <c r="AH4597" s="116"/>
      <c r="AI4597" s="116"/>
    </row>
    <row r="4598" spans="27:35" ht="18">
      <c r="AA4598" s="116"/>
      <c r="AB4598" s="87"/>
      <c r="AC4598" s="116"/>
      <c r="AD4598" s="116"/>
      <c r="AE4598" s="116"/>
      <c r="AF4598" s="116"/>
      <c r="AG4598" s="116"/>
      <c r="AH4598" s="116"/>
      <c r="AI4598" s="116"/>
    </row>
    <row r="4599" spans="27:35" ht="18">
      <c r="AA4599" s="116"/>
      <c r="AB4599" s="87"/>
      <c r="AC4599" s="116"/>
      <c r="AD4599" s="116"/>
      <c r="AE4599" s="116"/>
      <c r="AF4599" s="116"/>
      <c r="AG4599" s="116"/>
      <c r="AH4599" s="116"/>
      <c r="AI4599" s="116"/>
    </row>
    <row r="4600" spans="27:35" ht="18">
      <c r="AA4600" s="116"/>
      <c r="AB4600" s="87"/>
      <c r="AC4600" s="116"/>
      <c r="AD4600" s="116"/>
      <c r="AE4600" s="116"/>
      <c r="AF4600" s="116"/>
      <c r="AG4600" s="116"/>
      <c r="AH4600" s="116"/>
      <c r="AI4600" s="116"/>
    </row>
    <row r="4601" spans="27:35" ht="18">
      <c r="AA4601" s="116"/>
      <c r="AB4601" s="87"/>
      <c r="AC4601" s="116"/>
      <c r="AD4601" s="116"/>
      <c r="AE4601" s="116"/>
      <c r="AF4601" s="116"/>
      <c r="AG4601" s="116"/>
      <c r="AH4601" s="116"/>
      <c r="AI4601" s="116"/>
    </row>
    <row r="4602" spans="27:35" ht="18">
      <c r="AA4602" s="116"/>
      <c r="AB4602" s="87"/>
      <c r="AC4602" s="116"/>
      <c r="AD4602" s="116"/>
      <c r="AE4602" s="116"/>
      <c r="AF4602" s="116"/>
      <c r="AG4602" s="116"/>
      <c r="AH4602" s="116"/>
      <c r="AI4602" s="116"/>
    </row>
    <row r="4603" spans="27:35" ht="18">
      <c r="AA4603" s="116"/>
      <c r="AB4603" s="87"/>
      <c r="AC4603" s="116"/>
      <c r="AD4603" s="116"/>
      <c r="AE4603" s="116"/>
      <c r="AF4603" s="116"/>
      <c r="AG4603" s="116"/>
      <c r="AH4603" s="116"/>
      <c r="AI4603" s="116"/>
    </row>
    <row r="4604" spans="27:35" ht="18">
      <c r="AA4604" s="116"/>
      <c r="AB4604" s="87"/>
      <c r="AC4604" s="116"/>
      <c r="AD4604" s="116"/>
      <c r="AE4604" s="116"/>
      <c r="AF4604" s="116"/>
      <c r="AG4604" s="116"/>
      <c r="AH4604" s="116"/>
      <c r="AI4604" s="116"/>
    </row>
    <row r="4605" spans="27:35" ht="18">
      <c r="AA4605" s="116"/>
      <c r="AB4605" s="87"/>
      <c r="AC4605" s="116"/>
      <c r="AD4605" s="116"/>
      <c r="AE4605" s="116"/>
      <c r="AF4605" s="116"/>
      <c r="AG4605" s="116"/>
      <c r="AH4605" s="116"/>
      <c r="AI4605" s="116"/>
    </row>
    <row r="4606" spans="27:35" ht="18">
      <c r="AA4606" s="116"/>
      <c r="AB4606" s="87"/>
      <c r="AC4606" s="116"/>
      <c r="AD4606" s="116"/>
      <c r="AE4606" s="116"/>
      <c r="AF4606" s="116"/>
      <c r="AG4606" s="116"/>
      <c r="AH4606" s="116"/>
      <c r="AI4606" s="116"/>
    </row>
    <row r="4607" spans="27:35" ht="18">
      <c r="AA4607" s="116"/>
      <c r="AB4607" s="87"/>
      <c r="AC4607" s="116"/>
      <c r="AD4607" s="116"/>
      <c r="AE4607" s="116"/>
      <c r="AF4607" s="116"/>
      <c r="AG4607" s="116"/>
      <c r="AH4607" s="116"/>
      <c r="AI4607" s="116"/>
    </row>
    <row r="4608" spans="27:35" ht="18">
      <c r="AA4608" s="116"/>
      <c r="AB4608" s="87"/>
      <c r="AC4608" s="116"/>
      <c r="AD4608" s="116"/>
      <c r="AE4608" s="116"/>
      <c r="AF4608" s="116"/>
      <c r="AG4608" s="116"/>
      <c r="AH4608" s="116"/>
      <c r="AI4608" s="116"/>
    </row>
    <row r="4609" spans="27:35" ht="18">
      <c r="AA4609" s="116"/>
      <c r="AB4609" s="87"/>
      <c r="AC4609" s="116"/>
      <c r="AD4609" s="116"/>
      <c r="AE4609" s="116"/>
      <c r="AF4609" s="116"/>
      <c r="AG4609" s="116"/>
      <c r="AH4609" s="116"/>
      <c r="AI4609" s="116"/>
    </row>
    <row r="4610" spans="27:35" ht="18">
      <c r="AA4610" s="116"/>
      <c r="AB4610" s="87"/>
      <c r="AC4610" s="116"/>
      <c r="AD4610" s="116"/>
      <c r="AE4610" s="116"/>
      <c r="AF4610" s="116"/>
      <c r="AG4610" s="116"/>
      <c r="AH4610" s="116"/>
      <c r="AI4610" s="116"/>
    </row>
    <row r="4611" spans="27:35" ht="18">
      <c r="AA4611" s="116"/>
      <c r="AB4611" s="184"/>
      <c r="AC4611" s="116"/>
      <c r="AD4611" s="116"/>
      <c r="AE4611" s="116"/>
      <c r="AF4611" s="116"/>
      <c r="AG4611" s="116"/>
      <c r="AH4611" s="116"/>
      <c r="AI4611" s="116"/>
    </row>
    <row r="4612" spans="27:35" ht="18">
      <c r="AA4612" s="116"/>
      <c r="AB4612" s="87"/>
      <c r="AC4612" s="116"/>
      <c r="AD4612" s="116"/>
      <c r="AE4612" s="116"/>
      <c r="AF4612" s="116"/>
      <c r="AG4612" s="116"/>
      <c r="AH4612" s="116"/>
      <c r="AI4612" s="116"/>
    </row>
    <row r="4613" spans="27:35" ht="18">
      <c r="AA4613" s="116"/>
      <c r="AB4613" s="87"/>
      <c r="AC4613" s="116"/>
      <c r="AD4613" s="116"/>
      <c r="AE4613" s="116"/>
      <c r="AF4613" s="116"/>
      <c r="AG4613" s="116"/>
      <c r="AH4613" s="116"/>
      <c r="AI4613" s="116"/>
    </row>
    <row r="4614" spans="27:35" ht="18">
      <c r="AA4614" s="116"/>
      <c r="AB4614" s="87"/>
      <c r="AC4614" s="116"/>
      <c r="AD4614" s="116"/>
      <c r="AE4614" s="116"/>
      <c r="AF4614" s="116"/>
      <c r="AG4614" s="116"/>
      <c r="AH4614" s="116"/>
      <c r="AI4614" s="116"/>
    </row>
    <row r="4615" spans="27:35" ht="18">
      <c r="AA4615" s="116"/>
      <c r="AB4615" s="87"/>
      <c r="AC4615" s="116"/>
      <c r="AD4615" s="116"/>
      <c r="AE4615" s="116"/>
      <c r="AF4615" s="116"/>
      <c r="AG4615" s="116"/>
      <c r="AH4615" s="116"/>
      <c r="AI4615" s="116"/>
    </row>
    <row r="4616" spans="27:35" ht="18">
      <c r="AA4616" s="116"/>
      <c r="AB4616" s="87"/>
      <c r="AC4616" s="116"/>
      <c r="AD4616" s="116"/>
      <c r="AE4616" s="116"/>
      <c r="AF4616" s="116"/>
      <c r="AG4616" s="116"/>
      <c r="AH4616" s="116"/>
      <c r="AI4616" s="116"/>
    </row>
    <row r="4617" spans="27:35" ht="18">
      <c r="AA4617" s="116"/>
      <c r="AB4617" s="87"/>
      <c r="AC4617" s="116"/>
      <c r="AD4617" s="116"/>
      <c r="AE4617" s="116"/>
      <c r="AF4617" s="116"/>
      <c r="AG4617" s="116"/>
      <c r="AH4617" s="116"/>
      <c r="AI4617" s="116"/>
    </row>
    <row r="4618" spans="27:35" ht="18">
      <c r="AA4618" s="116"/>
      <c r="AB4618" s="87"/>
      <c r="AC4618" s="116"/>
      <c r="AD4618" s="116"/>
      <c r="AE4618" s="116"/>
      <c r="AF4618" s="116"/>
      <c r="AG4618" s="116"/>
      <c r="AH4618" s="116"/>
      <c r="AI4618" s="116"/>
    </row>
    <row r="4619" spans="27:35" ht="18">
      <c r="AA4619" s="116"/>
      <c r="AB4619" s="87"/>
      <c r="AC4619" s="116"/>
      <c r="AD4619" s="116"/>
      <c r="AE4619" s="116"/>
      <c r="AF4619" s="116"/>
      <c r="AG4619" s="116"/>
      <c r="AH4619" s="116"/>
      <c r="AI4619" s="116"/>
    </row>
    <row r="4620" spans="27:35" ht="18">
      <c r="AA4620" s="116"/>
      <c r="AB4620" s="87"/>
      <c r="AC4620" s="116"/>
      <c r="AD4620" s="116"/>
      <c r="AE4620" s="116"/>
      <c r="AF4620" s="116"/>
      <c r="AG4620" s="116"/>
      <c r="AH4620" s="116"/>
      <c r="AI4620" s="116"/>
    </row>
    <row r="4621" spans="27:35" ht="18">
      <c r="AA4621" s="116"/>
      <c r="AB4621" s="184"/>
      <c r="AC4621" s="116"/>
      <c r="AD4621" s="116"/>
      <c r="AE4621" s="116"/>
      <c r="AF4621" s="116"/>
      <c r="AG4621" s="116"/>
      <c r="AH4621" s="116"/>
      <c r="AI4621" s="116"/>
    </row>
    <row r="4622" spans="27:35" ht="18">
      <c r="AA4622" s="116"/>
      <c r="AB4622" s="87"/>
      <c r="AC4622" s="116"/>
      <c r="AD4622" s="116"/>
      <c r="AE4622" s="116"/>
      <c r="AF4622" s="116"/>
      <c r="AG4622" s="116"/>
      <c r="AH4622" s="116"/>
      <c r="AI4622" s="116"/>
    </row>
    <row r="4623" spans="27:35" ht="18">
      <c r="AA4623" s="116"/>
      <c r="AB4623" s="87"/>
      <c r="AC4623" s="116"/>
      <c r="AD4623" s="116"/>
      <c r="AE4623" s="116"/>
      <c r="AF4623" s="116"/>
      <c r="AG4623" s="116"/>
      <c r="AH4623" s="116"/>
      <c r="AI4623" s="116"/>
    </row>
    <row r="4624" spans="27:35" ht="18">
      <c r="AA4624" s="116"/>
      <c r="AB4624" s="87"/>
      <c r="AC4624" s="116"/>
      <c r="AD4624" s="116"/>
      <c r="AE4624" s="116"/>
      <c r="AF4624" s="116"/>
      <c r="AG4624" s="116"/>
      <c r="AH4624" s="116"/>
      <c r="AI4624" s="116"/>
    </row>
    <row r="4625" spans="27:35" ht="18">
      <c r="AA4625" s="116"/>
      <c r="AB4625" s="87"/>
      <c r="AC4625" s="116"/>
      <c r="AD4625" s="116"/>
      <c r="AE4625" s="116"/>
      <c r="AF4625" s="116"/>
      <c r="AG4625" s="116"/>
      <c r="AH4625" s="116"/>
      <c r="AI4625" s="116"/>
    </row>
    <row r="4626" spans="27:35" ht="18">
      <c r="AA4626" s="116"/>
      <c r="AB4626" s="87"/>
      <c r="AC4626" s="116"/>
      <c r="AD4626" s="116"/>
      <c r="AE4626" s="116"/>
      <c r="AF4626" s="116"/>
      <c r="AG4626" s="116"/>
      <c r="AH4626" s="116"/>
      <c r="AI4626" s="116"/>
    </row>
    <row r="4627" spans="27:35" ht="18">
      <c r="AA4627" s="116"/>
      <c r="AB4627" s="87"/>
      <c r="AC4627" s="116"/>
      <c r="AD4627" s="116"/>
      <c r="AE4627" s="116"/>
      <c r="AF4627" s="116"/>
      <c r="AG4627" s="116"/>
      <c r="AH4627" s="116"/>
      <c r="AI4627" s="116"/>
    </row>
    <row r="4628" spans="27:35" ht="18">
      <c r="AA4628" s="116"/>
      <c r="AB4628" s="87"/>
      <c r="AC4628" s="116"/>
      <c r="AD4628" s="116"/>
      <c r="AE4628" s="116"/>
      <c r="AF4628" s="116"/>
      <c r="AG4628" s="116"/>
      <c r="AH4628" s="116"/>
      <c r="AI4628" s="116"/>
    </row>
    <row r="4629" spans="27:35" ht="18">
      <c r="AA4629" s="116"/>
      <c r="AB4629" s="87"/>
      <c r="AC4629" s="116"/>
      <c r="AD4629" s="116"/>
      <c r="AE4629" s="116"/>
      <c r="AF4629" s="116"/>
      <c r="AG4629" s="116"/>
      <c r="AH4629" s="116"/>
      <c r="AI4629" s="116"/>
    </row>
    <row r="4630" spans="27:35" ht="18">
      <c r="AA4630" s="116"/>
      <c r="AB4630" s="87"/>
      <c r="AC4630" s="116"/>
      <c r="AD4630" s="116"/>
      <c r="AE4630" s="116"/>
      <c r="AF4630" s="116"/>
      <c r="AG4630" s="116"/>
      <c r="AH4630" s="116"/>
      <c r="AI4630" s="116"/>
    </row>
    <row r="4631" spans="27:35" ht="18">
      <c r="AA4631" s="116"/>
      <c r="AB4631" s="87"/>
      <c r="AC4631" s="116"/>
      <c r="AD4631" s="116"/>
      <c r="AE4631" s="116"/>
      <c r="AF4631" s="116"/>
      <c r="AG4631" s="116"/>
      <c r="AH4631" s="116"/>
      <c r="AI4631" s="116"/>
    </row>
    <row r="4632" spans="27:35" ht="18">
      <c r="AA4632" s="116"/>
      <c r="AB4632" s="87"/>
      <c r="AC4632" s="116"/>
      <c r="AD4632" s="116"/>
      <c r="AE4632" s="116"/>
      <c r="AF4632" s="116"/>
      <c r="AG4632" s="116"/>
      <c r="AH4632" s="116"/>
      <c r="AI4632" s="116"/>
    </row>
    <row r="4633" spans="27:35" ht="18">
      <c r="AA4633" s="116"/>
      <c r="AB4633" s="87"/>
      <c r="AC4633" s="116"/>
      <c r="AD4633" s="116"/>
      <c r="AE4633" s="116"/>
      <c r="AF4633" s="116"/>
      <c r="AG4633" s="116"/>
      <c r="AH4633" s="116"/>
      <c r="AI4633" s="116"/>
    </row>
    <row r="4634" spans="27:35" ht="18">
      <c r="AA4634" s="116"/>
      <c r="AB4634" s="87"/>
      <c r="AC4634" s="116"/>
      <c r="AD4634" s="116"/>
      <c r="AE4634" s="116"/>
      <c r="AF4634" s="116"/>
      <c r="AG4634" s="116"/>
      <c r="AH4634" s="116"/>
      <c r="AI4634" s="116"/>
    </row>
    <row r="4635" spans="27:35" ht="18">
      <c r="AA4635" s="116"/>
      <c r="AB4635" s="87"/>
      <c r="AC4635" s="116"/>
      <c r="AD4635" s="116"/>
      <c r="AE4635" s="116"/>
      <c r="AF4635" s="116"/>
      <c r="AG4635" s="116"/>
      <c r="AH4635" s="116"/>
      <c r="AI4635" s="116"/>
    </row>
    <row r="4636" spans="27:35" ht="18">
      <c r="AA4636" s="116"/>
      <c r="AB4636" s="87"/>
      <c r="AC4636" s="116"/>
      <c r="AD4636" s="116"/>
      <c r="AE4636" s="116"/>
      <c r="AF4636" s="116"/>
      <c r="AG4636" s="116"/>
      <c r="AH4636" s="116"/>
      <c r="AI4636" s="116"/>
    </row>
    <row r="4637" spans="27:35" ht="18">
      <c r="AA4637" s="116"/>
      <c r="AB4637" s="184"/>
      <c r="AC4637" s="116"/>
      <c r="AD4637" s="116"/>
      <c r="AE4637" s="116"/>
      <c r="AF4637" s="116"/>
      <c r="AG4637" s="116"/>
      <c r="AH4637" s="116"/>
      <c r="AI4637" s="116"/>
    </row>
    <row r="4638" spans="27:35" ht="18">
      <c r="AA4638" s="116"/>
      <c r="AB4638" s="87"/>
      <c r="AC4638" s="116"/>
      <c r="AD4638" s="116"/>
      <c r="AE4638" s="116"/>
      <c r="AF4638" s="116"/>
      <c r="AG4638" s="116"/>
      <c r="AH4638" s="116"/>
      <c r="AI4638" s="116"/>
    </row>
    <row r="4639" spans="27:35" ht="18">
      <c r="AA4639" s="116"/>
      <c r="AB4639" s="87"/>
      <c r="AC4639" s="116"/>
      <c r="AD4639" s="116"/>
      <c r="AE4639" s="116"/>
      <c r="AF4639" s="116"/>
      <c r="AG4639" s="116"/>
      <c r="AH4639" s="116"/>
      <c r="AI4639" s="116"/>
    </row>
    <row r="4640" spans="27:35" ht="18">
      <c r="AA4640" s="116"/>
      <c r="AB4640" s="87"/>
      <c r="AC4640" s="116"/>
      <c r="AD4640" s="116"/>
      <c r="AE4640" s="116"/>
      <c r="AF4640" s="116"/>
      <c r="AG4640" s="116"/>
      <c r="AH4640" s="116"/>
      <c r="AI4640" s="116"/>
    </row>
    <row r="4641" spans="27:35" ht="18">
      <c r="AA4641" s="116"/>
      <c r="AB4641" s="87"/>
      <c r="AC4641" s="116"/>
      <c r="AD4641" s="116"/>
      <c r="AE4641" s="116"/>
      <c r="AF4641" s="116"/>
      <c r="AG4641" s="116"/>
      <c r="AH4641" s="116"/>
      <c r="AI4641" s="116"/>
    </row>
    <row r="4642" spans="27:35" ht="18">
      <c r="AA4642" s="116"/>
      <c r="AB4642" s="87"/>
      <c r="AC4642" s="116"/>
      <c r="AD4642" s="116"/>
      <c r="AE4642" s="116"/>
      <c r="AF4642" s="116"/>
      <c r="AG4642" s="116"/>
      <c r="AH4642" s="116"/>
      <c r="AI4642" s="116"/>
    </row>
    <row r="4643" spans="27:35" ht="18">
      <c r="AA4643" s="116"/>
      <c r="AB4643" s="87"/>
      <c r="AC4643" s="116"/>
      <c r="AD4643" s="116"/>
      <c r="AE4643" s="116"/>
      <c r="AF4643" s="116"/>
      <c r="AG4643" s="116"/>
      <c r="AH4643" s="116"/>
      <c r="AI4643" s="116"/>
    </row>
    <row r="4644" spans="27:35" ht="18">
      <c r="AA4644" s="116"/>
      <c r="AB4644" s="87"/>
      <c r="AC4644" s="116"/>
      <c r="AD4644" s="116"/>
      <c r="AE4644" s="116"/>
      <c r="AF4644" s="116"/>
      <c r="AG4644" s="116"/>
      <c r="AH4644" s="116"/>
      <c r="AI4644" s="116"/>
    </row>
    <row r="4645" spans="27:35" ht="18">
      <c r="AA4645" s="116"/>
      <c r="AB4645" s="87"/>
      <c r="AC4645" s="116"/>
      <c r="AD4645" s="116"/>
      <c r="AE4645" s="116"/>
      <c r="AF4645" s="116"/>
      <c r="AG4645" s="116"/>
      <c r="AH4645" s="116"/>
      <c r="AI4645" s="116"/>
    </row>
    <row r="4646" spans="27:35" ht="18">
      <c r="AA4646" s="116"/>
      <c r="AB4646" s="87"/>
      <c r="AC4646" s="116"/>
      <c r="AD4646" s="116"/>
      <c r="AE4646" s="116"/>
      <c r="AF4646" s="116"/>
      <c r="AG4646" s="116"/>
      <c r="AH4646" s="116"/>
      <c r="AI4646" s="116"/>
    </row>
    <row r="4647" spans="27:35" ht="18">
      <c r="AA4647" s="116"/>
      <c r="AB4647" s="87"/>
      <c r="AC4647" s="116"/>
      <c r="AD4647" s="116"/>
      <c r="AE4647" s="116"/>
      <c r="AF4647" s="116"/>
      <c r="AG4647" s="116"/>
      <c r="AH4647" s="116"/>
      <c r="AI4647" s="116"/>
    </row>
    <row r="4648" spans="27:35" ht="18">
      <c r="AA4648" s="116"/>
      <c r="AB4648" s="87"/>
      <c r="AC4648" s="116"/>
      <c r="AD4648" s="116"/>
      <c r="AE4648" s="116"/>
      <c r="AF4648" s="116"/>
      <c r="AG4648" s="116"/>
      <c r="AH4648" s="116"/>
      <c r="AI4648" s="116"/>
    </row>
    <row r="4649" spans="27:35" ht="18">
      <c r="AA4649" s="116"/>
      <c r="AB4649" s="87"/>
      <c r="AC4649" s="116"/>
      <c r="AD4649" s="116"/>
      <c r="AE4649" s="116"/>
      <c r="AF4649" s="116"/>
      <c r="AG4649" s="116"/>
      <c r="AH4649" s="116"/>
      <c r="AI4649" s="116"/>
    </row>
    <row r="4650" spans="27:35" ht="18">
      <c r="AA4650" s="116"/>
      <c r="AB4650" s="87"/>
      <c r="AC4650" s="116"/>
      <c r="AD4650" s="116"/>
      <c r="AE4650" s="116"/>
      <c r="AF4650" s="116"/>
      <c r="AG4650" s="116"/>
      <c r="AH4650" s="116"/>
      <c r="AI4650" s="116"/>
    </row>
    <row r="4651" spans="27:35" ht="18">
      <c r="AA4651" s="116"/>
      <c r="AB4651" s="87"/>
      <c r="AC4651" s="116"/>
      <c r="AD4651" s="116"/>
      <c r="AE4651" s="116"/>
      <c r="AF4651" s="116"/>
      <c r="AG4651" s="116"/>
      <c r="AH4651" s="116"/>
      <c r="AI4651" s="116"/>
    </row>
    <row r="4652" spans="27:35" ht="18">
      <c r="AA4652" s="116"/>
      <c r="AB4652" s="87"/>
      <c r="AC4652" s="116"/>
      <c r="AD4652" s="116"/>
      <c r="AE4652" s="116"/>
      <c r="AF4652" s="116"/>
      <c r="AG4652" s="116"/>
      <c r="AH4652" s="116"/>
      <c r="AI4652" s="116"/>
    </row>
    <row r="4653" spans="27:35" ht="18">
      <c r="AA4653" s="116"/>
      <c r="AB4653" s="87"/>
      <c r="AC4653" s="116"/>
      <c r="AD4653" s="116"/>
      <c r="AE4653" s="116"/>
      <c r="AF4653" s="116"/>
      <c r="AG4653" s="116"/>
      <c r="AH4653" s="116"/>
      <c r="AI4653" s="116"/>
    </row>
    <row r="4654" spans="27:35" ht="18">
      <c r="AA4654" s="116"/>
      <c r="AB4654" s="87"/>
      <c r="AC4654" s="116"/>
      <c r="AD4654" s="116"/>
      <c r="AE4654" s="116"/>
      <c r="AF4654" s="116"/>
      <c r="AG4654" s="116"/>
      <c r="AH4654" s="116"/>
      <c r="AI4654" s="116"/>
    </row>
    <row r="4655" spans="27:35" ht="18">
      <c r="AA4655" s="116"/>
      <c r="AB4655" s="87"/>
      <c r="AC4655" s="116"/>
      <c r="AD4655" s="116"/>
      <c r="AE4655" s="116"/>
      <c r="AF4655" s="116"/>
      <c r="AG4655" s="116"/>
      <c r="AH4655" s="116"/>
      <c r="AI4655" s="116"/>
    </row>
    <row r="4656" spans="27:35" ht="18">
      <c r="AA4656" s="116"/>
      <c r="AB4656" s="87"/>
      <c r="AC4656" s="116"/>
      <c r="AD4656" s="116"/>
      <c r="AE4656" s="116"/>
      <c r="AF4656" s="116"/>
      <c r="AG4656" s="116"/>
      <c r="AH4656" s="116"/>
      <c r="AI4656" s="116"/>
    </row>
    <row r="4657" spans="27:35" ht="18">
      <c r="AA4657" s="116"/>
      <c r="AB4657" s="87"/>
      <c r="AC4657" s="116"/>
      <c r="AD4657" s="116"/>
      <c r="AE4657" s="116"/>
      <c r="AF4657" s="116"/>
      <c r="AG4657" s="116"/>
      <c r="AH4657" s="116"/>
      <c r="AI4657" s="116"/>
    </row>
    <row r="4658" spans="27:35" ht="18">
      <c r="AA4658" s="116"/>
      <c r="AB4658" s="87"/>
      <c r="AC4658" s="116"/>
      <c r="AD4658" s="116"/>
      <c r="AE4658" s="116"/>
      <c r="AF4658" s="116"/>
      <c r="AG4658" s="116"/>
      <c r="AH4658" s="116"/>
      <c r="AI4658" s="116"/>
    </row>
    <row r="4659" spans="27:35" ht="18">
      <c r="AA4659" s="116"/>
      <c r="AB4659" s="87"/>
      <c r="AC4659" s="116"/>
      <c r="AD4659" s="116"/>
      <c r="AE4659" s="116"/>
      <c r="AF4659" s="116"/>
      <c r="AG4659" s="116"/>
      <c r="AH4659" s="116"/>
      <c r="AI4659" s="116"/>
    </row>
    <row r="4660" spans="27:35" ht="18">
      <c r="AA4660" s="116"/>
      <c r="AB4660" s="87"/>
      <c r="AC4660" s="116"/>
      <c r="AD4660" s="116"/>
      <c r="AE4660" s="116"/>
      <c r="AF4660" s="116"/>
      <c r="AG4660" s="116"/>
      <c r="AH4660" s="116"/>
      <c r="AI4660" s="116"/>
    </row>
    <row r="4661" spans="27:35" ht="18">
      <c r="AA4661" s="116"/>
      <c r="AB4661" s="87"/>
      <c r="AC4661" s="116"/>
      <c r="AD4661" s="116"/>
      <c r="AE4661" s="116"/>
      <c r="AF4661" s="116"/>
      <c r="AG4661" s="116"/>
      <c r="AH4661" s="116"/>
      <c r="AI4661" s="116"/>
    </row>
    <row r="4662" spans="27:35" ht="18">
      <c r="AA4662" s="116"/>
      <c r="AB4662" s="87"/>
      <c r="AC4662" s="116"/>
      <c r="AD4662" s="116"/>
      <c r="AE4662" s="116"/>
      <c r="AF4662" s="116"/>
      <c r="AG4662" s="116"/>
      <c r="AH4662" s="116"/>
      <c r="AI4662" s="116"/>
    </row>
    <row r="4663" spans="27:35" ht="18">
      <c r="AA4663" s="116"/>
      <c r="AB4663" s="87"/>
      <c r="AC4663" s="116"/>
      <c r="AD4663" s="116"/>
      <c r="AE4663" s="116"/>
      <c r="AF4663" s="116"/>
      <c r="AG4663" s="116"/>
      <c r="AH4663" s="116"/>
      <c r="AI4663" s="116"/>
    </row>
    <row r="4664" spans="27:35" ht="18">
      <c r="AA4664" s="116"/>
      <c r="AB4664" s="87"/>
      <c r="AC4664" s="116"/>
      <c r="AD4664" s="116"/>
      <c r="AE4664" s="116"/>
      <c r="AF4664" s="116"/>
      <c r="AG4664" s="116"/>
      <c r="AH4664" s="116"/>
      <c r="AI4664" s="116"/>
    </row>
    <row r="4665" spans="27:35" ht="18">
      <c r="AA4665" s="116"/>
      <c r="AB4665" s="87"/>
      <c r="AC4665" s="116"/>
      <c r="AD4665" s="116"/>
      <c r="AE4665" s="116"/>
      <c r="AF4665" s="116"/>
      <c r="AG4665" s="116"/>
      <c r="AH4665" s="116"/>
      <c r="AI4665" s="116"/>
    </row>
    <row r="4666" spans="27:35" ht="18">
      <c r="AA4666" s="116"/>
      <c r="AB4666" s="87"/>
      <c r="AC4666" s="116"/>
      <c r="AD4666" s="116"/>
      <c r="AE4666" s="116"/>
      <c r="AF4666" s="116"/>
      <c r="AG4666" s="116"/>
      <c r="AH4666" s="116"/>
      <c r="AI4666" s="116"/>
    </row>
    <row r="4667" spans="27:35" ht="18">
      <c r="AA4667" s="116"/>
      <c r="AB4667" s="87"/>
      <c r="AC4667" s="116"/>
      <c r="AD4667" s="116"/>
      <c r="AE4667" s="116"/>
      <c r="AF4667" s="116"/>
      <c r="AG4667" s="116"/>
      <c r="AH4667" s="116"/>
      <c r="AI4667" s="116"/>
    </row>
    <row r="4668" spans="27:35" ht="18">
      <c r="AA4668" s="116"/>
      <c r="AB4668" s="87"/>
      <c r="AC4668" s="116"/>
      <c r="AD4668" s="116"/>
      <c r="AE4668" s="116"/>
      <c r="AF4668" s="116"/>
      <c r="AG4668" s="116"/>
      <c r="AH4668" s="116"/>
      <c r="AI4668" s="116"/>
    </row>
    <row r="4669" spans="27:35" ht="18">
      <c r="AA4669" s="116"/>
      <c r="AB4669" s="87"/>
      <c r="AC4669" s="116"/>
      <c r="AD4669" s="116"/>
      <c r="AE4669" s="116"/>
      <c r="AF4669" s="116"/>
      <c r="AG4669" s="116"/>
      <c r="AH4669" s="116"/>
      <c r="AI4669" s="116"/>
    </row>
    <row r="4670" spans="27:35" ht="18">
      <c r="AA4670" s="116"/>
      <c r="AB4670" s="87"/>
      <c r="AC4670" s="116"/>
      <c r="AD4670" s="116"/>
      <c r="AE4670" s="116"/>
      <c r="AF4670" s="116"/>
      <c r="AG4670" s="116"/>
      <c r="AH4670" s="116"/>
      <c r="AI4670" s="116"/>
    </row>
    <row r="4671" spans="27:35" ht="18">
      <c r="AA4671" s="116"/>
      <c r="AB4671" s="87"/>
      <c r="AC4671" s="116"/>
      <c r="AD4671" s="116"/>
      <c r="AE4671" s="116"/>
      <c r="AF4671" s="116"/>
      <c r="AG4671" s="116"/>
      <c r="AH4671" s="116"/>
      <c r="AI4671" s="116"/>
    </row>
    <row r="4672" spans="27:35" ht="18">
      <c r="AA4672" s="116"/>
      <c r="AB4672" s="87"/>
      <c r="AC4672" s="116"/>
      <c r="AD4672" s="116"/>
      <c r="AE4672" s="116"/>
      <c r="AF4672" s="116"/>
      <c r="AG4672" s="116"/>
      <c r="AH4672" s="116"/>
      <c r="AI4672" s="116"/>
    </row>
    <row r="4673" spans="27:35" ht="18">
      <c r="AA4673" s="116"/>
      <c r="AB4673" s="184"/>
      <c r="AC4673" s="116"/>
      <c r="AD4673" s="116"/>
      <c r="AE4673" s="116"/>
      <c r="AF4673" s="116"/>
      <c r="AG4673" s="116"/>
      <c r="AH4673" s="116"/>
      <c r="AI4673" s="116"/>
    </row>
    <row r="4674" spans="27:35" ht="18">
      <c r="AA4674" s="116"/>
      <c r="AB4674" s="184"/>
      <c r="AC4674" s="116"/>
      <c r="AD4674" s="116"/>
      <c r="AE4674" s="116"/>
      <c r="AF4674" s="116"/>
      <c r="AG4674" s="116"/>
      <c r="AH4674" s="116"/>
      <c r="AI4674" s="116"/>
    </row>
    <row r="4675" spans="27:35" ht="18">
      <c r="AA4675" s="116"/>
      <c r="AB4675" s="87"/>
      <c r="AC4675" s="116"/>
      <c r="AD4675" s="116"/>
      <c r="AE4675" s="116"/>
      <c r="AF4675" s="116"/>
      <c r="AG4675" s="116"/>
      <c r="AH4675" s="116"/>
      <c r="AI4675" s="116"/>
    </row>
    <row r="4676" spans="27:35" ht="18">
      <c r="AA4676" s="116"/>
      <c r="AB4676" s="87"/>
      <c r="AC4676" s="116"/>
      <c r="AD4676" s="116"/>
      <c r="AE4676" s="116"/>
      <c r="AF4676" s="116"/>
      <c r="AG4676" s="116"/>
      <c r="AH4676" s="116"/>
      <c r="AI4676" s="116"/>
    </row>
    <row r="4677" spans="27:35" ht="18">
      <c r="AA4677" s="116"/>
      <c r="AB4677" s="87"/>
      <c r="AC4677" s="116"/>
      <c r="AD4677" s="116"/>
      <c r="AE4677" s="116"/>
      <c r="AF4677" s="116"/>
      <c r="AG4677" s="116"/>
      <c r="AH4677" s="116"/>
      <c r="AI4677" s="116"/>
    </row>
    <row r="4678" spans="27:35" ht="18">
      <c r="AA4678" s="116"/>
      <c r="AB4678" s="87"/>
      <c r="AC4678" s="116"/>
      <c r="AD4678" s="116"/>
      <c r="AE4678" s="116"/>
      <c r="AF4678" s="116"/>
      <c r="AG4678" s="116"/>
      <c r="AH4678" s="116"/>
      <c r="AI4678" s="116"/>
    </row>
    <row r="4679" spans="27:35" ht="18">
      <c r="AA4679" s="116"/>
      <c r="AB4679" s="87"/>
      <c r="AC4679" s="116"/>
      <c r="AD4679" s="116"/>
      <c r="AE4679" s="116"/>
      <c r="AF4679" s="116"/>
      <c r="AG4679" s="116"/>
      <c r="AH4679" s="116"/>
      <c r="AI4679" s="116"/>
    </row>
    <row r="4680" spans="27:35" ht="18">
      <c r="AA4680" s="116"/>
      <c r="AB4680" s="184"/>
      <c r="AC4680" s="116"/>
      <c r="AD4680" s="116"/>
      <c r="AE4680" s="116"/>
      <c r="AF4680" s="116"/>
      <c r="AG4680" s="116"/>
      <c r="AH4680" s="116"/>
      <c r="AI4680" s="116"/>
    </row>
    <row r="4681" spans="27:35" ht="18">
      <c r="AA4681" s="116"/>
      <c r="AB4681" s="184"/>
      <c r="AC4681" s="116"/>
      <c r="AD4681" s="116"/>
      <c r="AE4681" s="116"/>
      <c r="AF4681" s="116"/>
      <c r="AG4681" s="116"/>
      <c r="AH4681" s="116"/>
      <c r="AI4681" s="116"/>
    </row>
    <row r="4682" spans="27:35" ht="18">
      <c r="AA4682" s="116"/>
      <c r="AB4682" s="184"/>
      <c r="AC4682" s="116"/>
      <c r="AD4682" s="116"/>
      <c r="AE4682" s="116"/>
      <c r="AF4682" s="116"/>
      <c r="AG4682" s="116"/>
      <c r="AH4682" s="116"/>
      <c r="AI4682" s="116"/>
    </row>
    <row r="4683" spans="27:35" ht="18">
      <c r="AA4683" s="116"/>
      <c r="AB4683" s="87"/>
      <c r="AC4683" s="116"/>
      <c r="AD4683" s="116"/>
      <c r="AE4683" s="116"/>
      <c r="AF4683" s="116"/>
      <c r="AG4683" s="116"/>
      <c r="AH4683" s="116"/>
      <c r="AI4683" s="116"/>
    </row>
    <row r="4684" spans="27:35" ht="18">
      <c r="AA4684" s="116"/>
      <c r="AB4684" s="87"/>
      <c r="AC4684" s="116"/>
      <c r="AD4684" s="116"/>
      <c r="AE4684" s="116"/>
      <c r="AF4684" s="116"/>
      <c r="AG4684" s="116"/>
      <c r="AH4684" s="116"/>
      <c r="AI4684" s="116"/>
    </row>
    <row r="4685" spans="27:35" ht="18">
      <c r="AA4685" s="116"/>
      <c r="AB4685" s="87"/>
      <c r="AC4685" s="116"/>
      <c r="AD4685" s="116"/>
      <c r="AE4685" s="116"/>
      <c r="AF4685" s="116"/>
      <c r="AG4685" s="116"/>
      <c r="AH4685" s="116"/>
      <c r="AI4685" s="116"/>
    </row>
    <row r="4686" spans="27:35" ht="18">
      <c r="AA4686" s="116"/>
      <c r="AB4686" s="87"/>
      <c r="AC4686" s="116"/>
      <c r="AD4686" s="116"/>
      <c r="AE4686" s="116"/>
      <c r="AF4686" s="116"/>
      <c r="AG4686" s="116"/>
      <c r="AH4686" s="116"/>
      <c r="AI4686" s="116"/>
    </row>
    <row r="4687" spans="27:35" ht="18">
      <c r="AA4687" s="116"/>
      <c r="AB4687" s="87"/>
      <c r="AC4687" s="116"/>
      <c r="AD4687" s="116"/>
      <c r="AE4687" s="116"/>
      <c r="AF4687" s="116"/>
      <c r="AG4687" s="116"/>
      <c r="AH4687" s="116"/>
      <c r="AI4687" s="116"/>
    </row>
    <row r="4688" spans="27:35" ht="18">
      <c r="AA4688" s="116"/>
      <c r="AB4688" s="87"/>
      <c r="AC4688" s="116"/>
      <c r="AD4688" s="116"/>
      <c r="AE4688" s="116"/>
      <c r="AF4688" s="116"/>
      <c r="AG4688" s="116"/>
      <c r="AH4688" s="116"/>
      <c r="AI4688" s="116"/>
    </row>
    <row r="4689" spans="27:35" ht="18">
      <c r="AA4689" s="116"/>
      <c r="AB4689" s="184"/>
      <c r="AC4689" s="116"/>
      <c r="AD4689" s="116"/>
      <c r="AE4689" s="116"/>
      <c r="AF4689" s="116"/>
      <c r="AG4689" s="116"/>
      <c r="AH4689" s="116"/>
      <c r="AI4689" s="116"/>
    </row>
    <row r="4690" spans="27:35" ht="18">
      <c r="AA4690" s="116"/>
      <c r="AB4690" s="87"/>
      <c r="AC4690" s="116"/>
      <c r="AD4690" s="116"/>
      <c r="AE4690" s="116"/>
      <c r="AF4690" s="116"/>
      <c r="AG4690" s="116"/>
      <c r="AH4690" s="116"/>
      <c r="AI4690" s="116"/>
    </row>
    <row r="4691" spans="27:35" ht="18">
      <c r="AA4691" s="116"/>
      <c r="AB4691" s="87"/>
      <c r="AC4691" s="116"/>
      <c r="AD4691" s="116"/>
      <c r="AE4691" s="116"/>
      <c r="AF4691" s="116"/>
      <c r="AG4691" s="116"/>
      <c r="AH4691" s="116"/>
      <c r="AI4691" s="116"/>
    </row>
    <row r="4692" spans="27:35" ht="18">
      <c r="AA4692" s="116"/>
      <c r="AB4692" s="184"/>
      <c r="AC4692" s="116"/>
      <c r="AD4692" s="116"/>
      <c r="AE4692" s="116"/>
      <c r="AF4692" s="116"/>
      <c r="AG4692" s="116"/>
      <c r="AH4692" s="116"/>
      <c r="AI4692" s="116"/>
    </row>
    <row r="4693" spans="27:35" ht="18">
      <c r="AA4693" s="116"/>
      <c r="AB4693" s="87"/>
      <c r="AC4693" s="116"/>
      <c r="AD4693" s="116"/>
      <c r="AE4693" s="116"/>
      <c r="AF4693" s="116"/>
      <c r="AG4693" s="116"/>
      <c r="AH4693" s="116"/>
      <c r="AI4693" s="116"/>
    </row>
    <row r="4694" spans="27:35" ht="18">
      <c r="AA4694" s="116"/>
      <c r="AB4694" s="87"/>
      <c r="AC4694" s="116"/>
      <c r="AD4694" s="116"/>
      <c r="AE4694" s="116"/>
      <c r="AF4694" s="116"/>
      <c r="AG4694" s="116"/>
      <c r="AH4694" s="116"/>
      <c r="AI4694" s="116"/>
    </row>
    <row r="4695" spans="27:35" ht="18">
      <c r="AA4695" s="116"/>
      <c r="AB4695" s="87"/>
      <c r="AC4695" s="116"/>
      <c r="AD4695" s="116"/>
      <c r="AE4695" s="116"/>
      <c r="AF4695" s="116"/>
      <c r="AG4695" s="116"/>
      <c r="AH4695" s="116"/>
      <c r="AI4695" s="116"/>
    </row>
    <row r="4696" spans="27:35" ht="18">
      <c r="AA4696" s="116"/>
      <c r="AB4696" s="184"/>
      <c r="AC4696" s="116"/>
      <c r="AD4696" s="116"/>
      <c r="AE4696" s="116"/>
      <c r="AF4696" s="116"/>
      <c r="AG4696" s="116"/>
      <c r="AH4696" s="116"/>
      <c r="AI4696" s="116"/>
    </row>
    <row r="4697" spans="27:35" ht="18">
      <c r="AA4697" s="116"/>
      <c r="AB4697" s="87"/>
      <c r="AC4697" s="116"/>
      <c r="AD4697" s="116"/>
      <c r="AE4697" s="116"/>
      <c r="AF4697" s="116"/>
      <c r="AG4697" s="116"/>
      <c r="AH4697" s="116"/>
      <c r="AI4697" s="116"/>
    </row>
    <row r="4698" spans="27:35" ht="18">
      <c r="AA4698" s="116"/>
      <c r="AB4698" s="87"/>
      <c r="AC4698" s="116"/>
      <c r="AD4698" s="116"/>
      <c r="AE4698" s="116"/>
      <c r="AF4698" s="116"/>
      <c r="AG4698" s="116"/>
      <c r="AH4698" s="116"/>
      <c r="AI4698" s="116"/>
    </row>
    <row r="4699" spans="27:35" ht="18">
      <c r="AA4699" s="116"/>
      <c r="AB4699" s="87"/>
      <c r="AC4699" s="116"/>
      <c r="AD4699" s="116"/>
      <c r="AE4699" s="116"/>
      <c r="AF4699" s="116"/>
      <c r="AG4699" s="116"/>
      <c r="AH4699" s="116"/>
      <c r="AI4699" s="116"/>
    </row>
    <row r="4700" spans="27:35" ht="18">
      <c r="AA4700" s="116"/>
      <c r="AB4700" s="87"/>
      <c r="AC4700" s="116"/>
      <c r="AD4700" s="116"/>
      <c r="AE4700" s="116"/>
      <c r="AF4700" s="116"/>
      <c r="AG4700" s="116"/>
      <c r="AH4700" s="116"/>
      <c r="AI4700" s="116"/>
    </row>
    <row r="4701" spans="27:35" ht="18">
      <c r="AA4701" s="116"/>
      <c r="AB4701" s="87"/>
      <c r="AC4701" s="116"/>
      <c r="AD4701" s="116"/>
      <c r="AE4701" s="116"/>
      <c r="AF4701" s="116"/>
      <c r="AG4701" s="116"/>
      <c r="AH4701" s="116"/>
      <c r="AI4701" s="116"/>
    </row>
    <row r="4702" spans="27:35" ht="18">
      <c r="AA4702" s="116"/>
      <c r="AB4702" s="87"/>
      <c r="AC4702" s="116"/>
      <c r="AD4702" s="116"/>
      <c r="AE4702" s="116"/>
      <c r="AF4702" s="116"/>
      <c r="AG4702" s="116"/>
      <c r="AH4702" s="116"/>
      <c r="AI4702" s="116"/>
    </row>
    <row r="4703" spans="27:35" ht="18">
      <c r="AA4703" s="116"/>
      <c r="AB4703" s="184"/>
      <c r="AC4703" s="116"/>
      <c r="AD4703" s="116"/>
      <c r="AE4703" s="116"/>
      <c r="AF4703" s="116"/>
      <c r="AG4703" s="116"/>
      <c r="AH4703" s="116"/>
      <c r="AI4703" s="116"/>
    </row>
    <row r="4704" spans="27:35" ht="18">
      <c r="AA4704" s="116"/>
      <c r="AB4704" s="87"/>
      <c r="AC4704" s="116"/>
      <c r="AD4704" s="116"/>
      <c r="AE4704" s="116"/>
      <c r="AF4704" s="116"/>
      <c r="AG4704" s="116"/>
      <c r="AH4704" s="116"/>
      <c r="AI4704" s="116"/>
    </row>
    <row r="4705" spans="27:35" ht="18">
      <c r="AA4705" s="116"/>
      <c r="AB4705" s="87"/>
      <c r="AC4705" s="116"/>
      <c r="AD4705" s="116"/>
      <c r="AE4705" s="116"/>
      <c r="AF4705" s="116"/>
      <c r="AG4705" s="116"/>
      <c r="AH4705" s="116"/>
      <c r="AI4705" s="116"/>
    </row>
    <row r="4706" spans="27:35" ht="18">
      <c r="AA4706" s="116"/>
      <c r="AB4706" s="184"/>
      <c r="AC4706" s="116"/>
      <c r="AD4706" s="116"/>
      <c r="AE4706" s="116"/>
      <c r="AF4706" s="116"/>
      <c r="AG4706" s="116"/>
      <c r="AH4706" s="116"/>
      <c r="AI4706" s="116"/>
    </row>
    <row r="4707" spans="27:35" ht="18">
      <c r="AA4707" s="116"/>
      <c r="AB4707" s="87"/>
      <c r="AC4707" s="116"/>
      <c r="AD4707" s="116"/>
      <c r="AE4707" s="116"/>
      <c r="AF4707" s="116"/>
      <c r="AG4707" s="116"/>
      <c r="AH4707" s="116"/>
      <c r="AI4707" s="116"/>
    </row>
    <row r="4708" spans="27:35" ht="18">
      <c r="AA4708" s="116"/>
      <c r="AB4708" s="87"/>
      <c r="AC4708" s="116"/>
      <c r="AD4708" s="116"/>
      <c r="AE4708" s="116"/>
      <c r="AF4708" s="116"/>
      <c r="AG4708" s="116"/>
      <c r="AH4708" s="116"/>
      <c r="AI4708" s="116"/>
    </row>
    <row r="4709" spans="27:35" ht="18">
      <c r="AA4709" s="116"/>
      <c r="AB4709" s="184"/>
      <c r="AC4709" s="116"/>
      <c r="AD4709" s="116"/>
      <c r="AE4709" s="116"/>
      <c r="AF4709" s="116"/>
      <c r="AG4709" s="116"/>
      <c r="AH4709" s="116"/>
      <c r="AI4709" s="116"/>
    </row>
    <row r="4710" spans="27:35" ht="18">
      <c r="AA4710" s="116"/>
      <c r="AB4710" s="87"/>
      <c r="AC4710" s="116"/>
      <c r="AD4710" s="116"/>
      <c r="AE4710" s="116"/>
      <c r="AF4710" s="116"/>
      <c r="AG4710" s="116"/>
      <c r="AH4710" s="116"/>
      <c r="AI4710" s="116"/>
    </row>
    <row r="4711" spans="27:35" ht="18">
      <c r="AA4711" s="116"/>
      <c r="AB4711" s="87"/>
      <c r="AC4711" s="116"/>
      <c r="AD4711" s="116"/>
      <c r="AE4711" s="116"/>
      <c r="AF4711" s="116"/>
      <c r="AG4711" s="116"/>
      <c r="AH4711" s="116"/>
      <c r="AI4711" s="116"/>
    </row>
    <row r="4712" spans="27:35" ht="18">
      <c r="AA4712" s="116"/>
      <c r="AB4712" s="184"/>
      <c r="AC4712" s="116"/>
      <c r="AD4712" s="116"/>
      <c r="AE4712" s="116"/>
      <c r="AF4712" s="116"/>
      <c r="AG4712" s="116"/>
      <c r="AH4712" s="116"/>
      <c r="AI4712" s="116"/>
    </row>
    <row r="4713" spans="27:35" ht="18">
      <c r="AA4713" s="116"/>
      <c r="AB4713" s="87"/>
      <c r="AC4713" s="116"/>
      <c r="AD4713" s="116"/>
      <c r="AE4713" s="116"/>
      <c r="AF4713" s="116"/>
      <c r="AG4713" s="116"/>
      <c r="AH4713" s="116"/>
      <c r="AI4713" s="116"/>
    </row>
    <row r="4714" spans="27:35" ht="18">
      <c r="AA4714" s="116"/>
      <c r="AB4714" s="87"/>
      <c r="AC4714" s="116"/>
      <c r="AD4714" s="116"/>
      <c r="AE4714" s="116"/>
      <c r="AF4714" s="116"/>
      <c r="AG4714" s="116"/>
      <c r="AH4714" s="116"/>
      <c r="AI4714" s="116"/>
    </row>
    <row r="4715" spans="27:35" ht="18">
      <c r="AA4715" s="116"/>
      <c r="AB4715" s="184"/>
      <c r="AC4715" s="116"/>
      <c r="AD4715" s="116"/>
      <c r="AE4715" s="116"/>
      <c r="AF4715" s="116"/>
      <c r="AG4715" s="116"/>
      <c r="AH4715" s="116"/>
      <c r="AI4715" s="116"/>
    </row>
    <row r="4716" spans="27:35" ht="18">
      <c r="AA4716" s="116"/>
      <c r="AB4716" s="87"/>
      <c r="AC4716" s="116"/>
      <c r="AD4716" s="116"/>
      <c r="AE4716" s="116"/>
      <c r="AF4716" s="116"/>
      <c r="AG4716" s="116"/>
      <c r="AH4716" s="116"/>
      <c r="AI4716" s="116"/>
    </row>
    <row r="4717" spans="27:35" ht="18">
      <c r="AA4717" s="116"/>
      <c r="AB4717" s="87"/>
      <c r="AC4717" s="116"/>
      <c r="AD4717" s="116"/>
      <c r="AE4717" s="116"/>
      <c r="AF4717" s="116"/>
      <c r="AG4717" s="116"/>
      <c r="AH4717" s="116"/>
      <c r="AI4717" s="116"/>
    </row>
    <row r="4718" spans="27:35" ht="18">
      <c r="AA4718" s="116"/>
      <c r="AB4718" s="184"/>
      <c r="AC4718" s="116"/>
      <c r="AD4718" s="116"/>
      <c r="AE4718" s="116"/>
      <c r="AF4718" s="116"/>
      <c r="AG4718" s="116"/>
      <c r="AH4718" s="116"/>
      <c r="AI4718" s="116"/>
    </row>
    <row r="4719" spans="27:35" ht="18">
      <c r="AA4719" s="116"/>
      <c r="AB4719" s="87"/>
      <c r="AC4719" s="116"/>
      <c r="AD4719" s="116"/>
      <c r="AE4719" s="116"/>
      <c r="AF4719" s="116"/>
      <c r="AG4719" s="116"/>
      <c r="AH4719" s="116"/>
      <c r="AI4719" s="116"/>
    </row>
    <row r="4720" spans="27:35" ht="18">
      <c r="AA4720" s="116"/>
      <c r="AB4720" s="87"/>
      <c r="AC4720" s="116"/>
      <c r="AD4720" s="116"/>
      <c r="AE4720" s="116"/>
      <c r="AF4720" s="116"/>
      <c r="AG4720" s="116"/>
      <c r="AH4720" s="116"/>
      <c r="AI4720" s="116"/>
    </row>
    <row r="4721" spans="27:35" ht="18">
      <c r="AA4721" s="116"/>
      <c r="AB4721" s="184"/>
      <c r="AC4721" s="116"/>
      <c r="AD4721" s="116"/>
      <c r="AE4721" s="116"/>
      <c r="AF4721" s="116"/>
      <c r="AG4721" s="116"/>
      <c r="AH4721" s="116"/>
      <c r="AI4721" s="116"/>
    </row>
    <row r="4722" spans="27:35" ht="18">
      <c r="AA4722" s="116"/>
      <c r="AB4722" s="87"/>
      <c r="AC4722" s="116"/>
      <c r="AD4722" s="116"/>
      <c r="AE4722" s="116"/>
      <c r="AF4722" s="116"/>
      <c r="AG4722" s="116"/>
      <c r="AH4722" s="116"/>
      <c r="AI4722" s="116"/>
    </row>
    <row r="4723" spans="27:35" ht="18">
      <c r="AA4723" s="116"/>
      <c r="AB4723" s="87"/>
      <c r="AC4723" s="116"/>
      <c r="AD4723" s="116"/>
      <c r="AE4723" s="116"/>
      <c r="AF4723" s="116"/>
      <c r="AG4723" s="116"/>
      <c r="AH4723" s="116"/>
      <c r="AI4723" s="116"/>
    </row>
    <row r="4724" spans="27:35" ht="18">
      <c r="AA4724" s="116"/>
      <c r="AB4724" s="184"/>
      <c r="AC4724" s="116"/>
      <c r="AD4724" s="116"/>
      <c r="AE4724" s="116"/>
      <c r="AF4724" s="116"/>
      <c r="AG4724" s="116"/>
      <c r="AH4724" s="116"/>
      <c r="AI4724" s="116"/>
    </row>
    <row r="4725" spans="27:35" ht="18">
      <c r="AA4725" s="116"/>
      <c r="AB4725" s="87"/>
      <c r="AC4725" s="116"/>
      <c r="AD4725" s="116"/>
      <c r="AE4725" s="116"/>
      <c r="AF4725" s="116"/>
      <c r="AG4725" s="116"/>
      <c r="AH4725" s="116"/>
      <c r="AI4725" s="116"/>
    </row>
    <row r="4726" spans="27:35" ht="18">
      <c r="AA4726" s="116"/>
      <c r="AB4726" s="87"/>
      <c r="AC4726" s="116"/>
      <c r="AD4726" s="116"/>
      <c r="AE4726" s="116"/>
      <c r="AF4726" s="116"/>
      <c r="AG4726" s="116"/>
      <c r="AH4726" s="116"/>
      <c r="AI4726" s="116"/>
    </row>
    <row r="4727" spans="27:35" ht="18">
      <c r="AA4727" s="116"/>
      <c r="AB4727" s="87"/>
      <c r="AC4727" s="116"/>
      <c r="AD4727" s="116"/>
      <c r="AE4727" s="116"/>
      <c r="AF4727" s="116"/>
      <c r="AG4727" s="116"/>
      <c r="AH4727" s="116"/>
      <c r="AI4727" s="116"/>
    </row>
    <row r="4728" spans="27:35" ht="18">
      <c r="AA4728" s="116"/>
      <c r="AB4728" s="87"/>
      <c r="AC4728" s="116"/>
      <c r="AD4728" s="116"/>
      <c r="AE4728" s="116"/>
      <c r="AF4728" s="116"/>
      <c r="AG4728" s="116"/>
      <c r="AH4728" s="116"/>
      <c r="AI4728" s="116"/>
    </row>
    <row r="4729" spans="27:35" ht="18">
      <c r="AA4729" s="116"/>
      <c r="AB4729" s="184"/>
      <c r="AC4729" s="116"/>
      <c r="AD4729" s="116"/>
      <c r="AE4729" s="116"/>
      <c r="AF4729" s="116"/>
      <c r="AG4729" s="116"/>
      <c r="AH4729" s="116"/>
      <c r="AI4729" s="116"/>
    </row>
    <row r="4730" spans="27:35" ht="18">
      <c r="AA4730" s="116"/>
      <c r="AB4730" s="87"/>
      <c r="AC4730" s="116"/>
      <c r="AD4730" s="116"/>
      <c r="AE4730" s="116"/>
      <c r="AF4730" s="116"/>
      <c r="AG4730" s="116"/>
      <c r="AH4730" s="116"/>
      <c r="AI4730" s="116"/>
    </row>
    <row r="4731" spans="27:35" ht="18">
      <c r="AA4731" s="116"/>
      <c r="AB4731" s="87"/>
      <c r="AC4731" s="116"/>
      <c r="AD4731" s="116"/>
      <c r="AE4731" s="116"/>
      <c r="AF4731" s="116"/>
      <c r="AG4731" s="116"/>
      <c r="AH4731" s="116"/>
      <c r="AI4731" s="116"/>
    </row>
    <row r="4732" spans="27:35" ht="18">
      <c r="AA4732" s="116"/>
      <c r="AB4732" s="87"/>
      <c r="AC4732" s="116"/>
      <c r="AD4732" s="116"/>
      <c r="AE4732" s="116"/>
      <c r="AF4732" s="116"/>
      <c r="AG4732" s="116"/>
      <c r="AH4732" s="116"/>
      <c r="AI4732" s="116"/>
    </row>
    <row r="4733" spans="27:35" ht="18">
      <c r="AA4733" s="116"/>
      <c r="AB4733" s="87"/>
      <c r="AC4733" s="116"/>
      <c r="AD4733" s="116"/>
      <c r="AE4733" s="116"/>
      <c r="AF4733" s="116"/>
      <c r="AG4733" s="116"/>
      <c r="AH4733" s="116"/>
      <c r="AI4733" s="116"/>
    </row>
    <row r="4734" spans="27:35" ht="18">
      <c r="AA4734" s="116"/>
      <c r="AB4734" s="87"/>
      <c r="AC4734" s="116"/>
      <c r="AD4734" s="116"/>
      <c r="AE4734" s="116"/>
      <c r="AF4734" s="116"/>
      <c r="AG4734" s="116"/>
      <c r="AH4734" s="116"/>
      <c r="AI4734" s="116"/>
    </row>
    <row r="4735" spans="27:35" ht="18">
      <c r="AA4735" s="116"/>
      <c r="AB4735" s="87"/>
      <c r="AC4735" s="116"/>
      <c r="AD4735" s="116"/>
      <c r="AE4735" s="116"/>
      <c r="AF4735" s="116"/>
      <c r="AG4735" s="116"/>
      <c r="AH4735" s="116"/>
      <c r="AI4735" s="116"/>
    </row>
    <row r="4736" spans="27:35" ht="18">
      <c r="AA4736" s="116"/>
      <c r="AB4736" s="87"/>
      <c r="AC4736" s="116"/>
      <c r="AD4736" s="116"/>
      <c r="AE4736" s="116"/>
      <c r="AF4736" s="116"/>
      <c r="AG4736" s="116"/>
      <c r="AH4736" s="116"/>
      <c r="AI4736" s="116"/>
    </row>
    <row r="4737" spans="27:35" ht="18">
      <c r="AA4737" s="116"/>
      <c r="AB4737" s="87"/>
      <c r="AC4737" s="116"/>
      <c r="AD4737" s="116"/>
      <c r="AE4737" s="116"/>
      <c r="AF4737" s="116"/>
      <c r="AG4737" s="116"/>
      <c r="AH4737" s="116"/>
      <c r="AI4737" s="116"/>
    </row>
    <row r="4738" spans="27:35" ht="18">
      <c r="AA4738" s="116"/>
      <c r="AB4738" s="87"/>
      <c r="AC4738" s="116"/>
      <c r="AD4738" s="116"/>
      <c r="AE4738" s="116"/>
      <c r="AF4738" s="116"/>
      <c r="AG4738" s="116"/>
      <c r="AH4738" s="116"/>
      <c r="AI4738" s="116"/>
    </row>
    <row r="4739" spans="27:35" ht="18">
      <c r="AA4739" s="116"/>
      <c r="AB4739" s="87"/>
      <c r="AC4739" s="116"/>
      <c r="AD4739" s="116"/>
      <c r="AE4739" s="116"/>
      <c r="AF4739" s="116"/>
      <c r="AG4739" s="116"/>
      <c r="AH4739" s="116"/>
      <c r="AI4739" s="116"/>
    </row>
    <row r="4740" spans="27:35" ht="18">
      <c r="AA4740" s="116"/>
      <c r="AB4740" s="87"/>
      <c r="AC4740" s="116"/>
      <c r="AD4740" s="116"/>
      <c r="AE4740" s="116"/>
      <c r="AF4740" s="116"/>
      <c r="AG4740" s="116"/>
      <c r="AH4740" s="116"/>
      <c r="AI4740" s="116"/>
    </row>
    <row r="4741" spans="27:35" ht="18">
      <c r="AA4741" s="116"/>
      <c r="AB4741" s="87"/>
      <c r="AC4741" s="116"/>
      <c r="AD4741" s="116"/>
      <c r="AE4741" s="116"/>
      <c r="AF4741" s="116"/>
      <c r="AG4741" s="116"/>
      <c r="AH4741" s="116"/>
      <c r="AI4741" s="116"/>
    </row>
    <row r="4742" spans="27:35" ht="18">
      <c r="AA4742" s="116"/>
      <c r="AB4742" s="87"/>
      <c r="AC4742" s="116"/>
      <c r="AD4742" s="116"/>
      <c r="AE4742" s="116"/>
      <c r="AF4742" s="116"/>
      <c r="AG4742" s="116"/>
      <c r="AH4742" s="116"/>
      <c r="AI4742" s="116"/>
    </row>
    <row r="4743" spans="27:35" ht="18">
      <c r="AA4743" s="116"/>
      <c r="AB4743" s="184"/>
      <c r="AC4743" s="116"/>
      <c r="AD4743" s="116"/>
      <c r="AE4743" s="116"/>
      <c r="AF4743" s="116"/>
      <c r="AG4743" s="116"/>
      <c r="AH4743" s="116"/>
      <c r="AI4743" s="116"/>
    </row>
    <row r="4744" spans="27:35" ht="18">
      <c r="AA4744" s="116"/>
      <c r="AB4744" s="184"/>
      <c r="AC4744" s="116"/>
      <c r="AD4744" s="116"/>
      <c r="AE4744" s="116"/>
      <c r="AF4744" s="116"/>
      <c r="AG4744" s="116"/>
      <c r="AH4744" s="116"/>
      <c r="AI4744" s="116"/>
    </row>
    <row r="4745" spans="27:35" ht="18">
      <c r="AA4745" s="116"/>
      <c r="AB4745" s="87"/>
      <c r="AC4745" s="116"/>
      <c r="AD4745" s="116"/>
      <c r="AE4745" s="116"/>
      <c r="AF4745" s="116"/>
      <c r="AG4745" s="116"/>
      <c r="AH4745" s="116"/>
      <c r="AI4745" s="116"/>
    </row>
    <row r="4746" spans="27:35" ht="18">
      <c r="AA4746" s="116"/>
      <c r="AB4746" s="87"/>
      <c r="AC4746" s="116"/>
      <c r="AD4746" s="116"/>
      <c r="AE4746" s="116"/>
      <c r="AF4746" s="116"/>
      <c r="AG4746" s="116"/>
      <c r="AH4746" s="116"/>
      <c r="AI4746" s="116"/>
    </row>
    <row r="4747" spans="27:35" ht="18">
      <c r="AA4747" s="116"/>
      <c r="AB4747" s="184"/>
      <c r="AC4747" s="116"/>
      <c r="AD4747" s="116"/>
      <c r="AE4747" s="116"/>
      <c r="AF4747" s="116"/>
      <c r="AG4747" s="116"/>
      <c r="AH4747" s="116"/>
      <c r="AI4747" s="116"/>
    </row>
    <row r="4748" spans="27:35" ht="18">
      <c r="AA4748" s="116"/>
      <c r="AB4748" s="87"/>
      <c r="AC4748" s="116"/>
      <c r="AD4748" s="116"/>
      <c r="AE4748" s="116"/>
      <c r="AF4748" s="116"/>
      <c r="AG4748" s="116"/>
      <c r="AH4748" s="116"/>
      <c r="AI4748" s="116"/>
    </row>
    <row r="4749" spans="27:35" ht="18">
      <c r="AA4749" s="116"/>
      <c r="AB4749" s="87"/>
      <c r="AC4749" s="116"/>
      <c r="AD4749" s="116"/>
      <c r="AE4749" s="116"/>
      <c r="AF4749" s="116"/>
      <c r="AG4749" s="116"/>
      <c r="AH4749" s="116"/>
      <c r="AI4749" s="116"/>
    </row>
    <row r="4750" spans="27:35" ht="18">
      <c r="AA4750" s="116"/>
      <c r="AB4750" s="87"/>
      <c r="AC4750" s="116"/>
      <c r="AD4750" s="116"/>
      <c r="AE4750" s="116"/>
      <c r="AF4750" s="116"/>
      <c r="AG4750" s="116"/>
      <c r="AH4750" s="116"/>
      <c r="AI4750" s="116"/>
    </row>
    <row r="4751" spans="27:35" ht="18">
      <c r="AA4751" s="116"/>
      <c r="AB4751" s="87"/>
      <c r="AC4751" s="116"/>
      <c r="AD4751" s="116"/>
      <c r="AE4751" s="116"/>
      <c r="AF4751" s="116"/>
      <c r="AG4751" s="116"/>
      <c r="AH4751" s="116"/>
      <c r="AI4751" s="116"/>
    </row>
    <row r="4752" spans="27:35" ht="18">
      <c r="AA4752" s="116"/>
      <c r="AB4752" s="87"/>
      <c r="AC4752" s="116"/>
      <c r="AD4752" s="116"/>
      <c r="AE4752" s="116"/>
      <c r="AF4752" s="116"/>
      <c r="AG4752" s="116"/>
      <c r="AH4752" s="116"/>
      <c r="AI4752" s="116"/>
    </row>
    <row r="4753" spans="27:35" ht="18">
      <c r="AA4753" s="116"/>
      <c r="AB4753" s="184"/>
      <c r="AC4753" s="116"/>
      <c r="AD4753" s="116"/>
      <c r="AE4753" s="116"/>
      <c r="AF4753" s="116"/>
      <c r="AG4753" s="116"/>
      <c r="AH4753" s="116"/>
      <c r="AI4753" s="116"/>
    </row>
    <row r="4754" spans="27:35" ht="18">
      <c r="AA4754" s="116"/>
      <c r="AB4754" s="87"/>
      <c r="AC4754" s="116"/>
      <c r="AD4754" s="116"/>
      <c r="AE4754" s="116"/>
      <c r="AF4754" s="116"/>
      <c r="AG4754" s="116"/>
      <c r="AH4754" s="116"/>
      <c r="AI4754" s="116"/>
    </row>
    <row r="4755" spans="27:35" ht="18">
      <c r="AA4755" s="116"/>
      <c r="AB4755" s="87"/>
      <c r="AC4755" s="116"/>
      <c r="AD4755" s="116"/>
      <c r="AE4755" s="116"/>
      <c r="AF4755" s="116"/>
      <c r="AG4755" s="116"/>
      <c r="AH4755" s="116"/>
      <c r="AI4755" s="116"/>
    </row>
    <row r="4756" spans="27:35" ht="18">
      <c r="AA4756" s="116"/>
      <c r="AB4756" s="87"/>
      <c r="AC4756" s="116"/>
      <c r="AD4756" s="116"/>
      <c r="AE4756" s="116"/>
      <c r="AF4756" s="116"/>
      <c r="AG4756" s="116"/>
      <c r="AH4756" s="116"/>
      <c r="AI4756" s="116"/>
    </row>
    <row r="4757" spans="27:35" ht="18">
      <c r="AA4757" s="116"/>
      <c r="AB4757" s="184"/>
      <c r="AC4757" s="116"/>
      <c r="AD4757" s="116"/>
      <c r="AE4757" s="116"/>
      <c r="AF4757" s="116"/>
      <c r="AG4757" s="116"/>
      <c r="AH4757" s="116"/>
      <c r="AI4757" s="116"/>
    </row>
    <row r="4758" spans="27:35" ht="18">
      <c r="AA4758" s="116"/>
      <c r="AB4758" s="87"/>
      <c r="AC4758" s="116"/>
      <c r="AD4758" s="116"/>
      <c r="AE4758" s="116"/>
      <c r="AF4758" s="116"/>
      <c r="AG4758" s="116"/>
      <c r="AH4758" s="116"/>
      <c r="AI4758" s="116"/>
    </row>
    <row r="4759" spans="27:35" ht="18">
      <c r="AA4759" s="116"/>
      <c r="AB4759" s="87"/>
      <c r="AC4759" s="116"/>
      <c r="AD4759" s="116"/>
      <c r="AE4759" s="116"/>
      <c r="AF4759" s="116"/>
      <c r="AG4759" s="116"/>
      <c r="AH4759" s="116"/>
      <c r="AI4759" s="116"/>
    </row>
    <row r="4760" spans="27:35" ht="18">
      <c r="AA4760" s="116"/>
      <c r="AB4760" s="184"/>
      <c r="AC4760" s="116"/>
      <c r="AD4760" s="116"/>
      <c r="AE4760" s="116"/>
      <c r="AF4760" s="116"/>
      <c r="AG4760" s="116"/>
      <c r="AH4760" s="116"/>
      <c r="AI4760" s="116"/>
    </row>
    <row r="4761" spans="27:35" ht="18">
      <c r="AA4761" s="116"/>
      <c r="AB4761" s="87"/>
      <c r="AC4761" s="116"/>
      <c r="AD4761" s="116"/>
      <c r="AE4761" s="116"/>
      <c r="AF4761" s="116"/>
      <c r="AG4761" s="116"/>
      <c r="AH4761" s="116"/>
      <c r="AI4761" s="116"/>
    </row>
    <row r="4762" spans="27:35" ht="18">
      <c r="AA4762" s="116"/>
      <c r="AB4762" s="87"/>
      <c r="AC4762" s="116"/>
      <c r="AD4762" s="116"/>
      <c r="AE4762" s="116"/>
      <c r="AF4762" s="116"/>
      <c r="AG4762" s="116"/>
      <c r="AH4762" s="116"/>
      <c r="AI4762" s="116"/>
    </row>
    <row r="4763" spans="27:35" ht="18">
      <c r="AA4763" s="116"/>
      <c r="AB4763" s="184"/>
      <c r="AC4763" s="116"/>
      <c r="AD4763" s="116"/>
      <c r="AE4763" s="116"/>
      <c r="AF4763" s="116"/>
      <c r="AG4763" s="116"/>
      <c r="AH4763" s="116"/>
      <c r="AI4763" s="116"/>
    </row>
    <row r="4764" spans="27:35" ht="18">
      <c r="AA4764" s="116"/>
      <c r="AB4764" s="87"/>
      <c r="AC4764" s="116"/>
      <c r="AD4764" s="116"/>
      <c r="AE4764" s="116"/>
      <c r="AF4764" s="116"/>
      <c r="AG4764" s="116"/>
      <c r="AH4764" s="116"/>
      <c r="AI4764" s="116"/>
    </row>
    <row r="4765" spans="27:35" ht="18">
      <c r="AA4765" s="116"/>
      <c r="AB4765" s="87"/>
      <c r="AC4765" s="116"/>
      <c r="AD4765" s="116"/>
      <c r="AE4765" s="116"/>
      <c r="AF4765" s="116"/>
      <c r="AG4765" s="116"/>
      <c r="AH4765" s="116"/>
      <c r="AI4765" s="116"/>
    </row>
    <row r="4766" spans="27:35" ht="18">
      <c r="AA4766" s="116"/>
      <c r="AB4766" s="87"/>
      <c r="AC4766" s="116"/>
      <c r="AD4766" s="116"/>
      <c r="AE4766" s="116"/>
      <c r="AF4766" s="116"/>
      <c r="AG4766" s="116"/>
      <c r="AH4766" s="116"/>
      <c r="AI4766" s="116"/>
    </row>
    <row r="4767" spans="27:35" ht="18">
      <c r="AA4767" s="116"/>
      <c r="AB4767" s="184"/>
      <c r="AC4767" s="116"/>
      <c r="AD4767" s="116"/>
      <c r="AE4767" s="116"/>
      <c r="AF4767" s="116"/>
      <c r="AG4767" s="116"/>
      <c r="AH4767" s="116"/>
      <c r="AI4767" s="116"/>
    </row>
    <row r="4768" spans="27:35" ht="18">
      <c r="AA4768" s="116"/>
      <c r="AB4768" s="184"/>
      <c r="AC4768" s="116"/>
      <c r="AD4768" s="116"/>
      <c r="AE4768" s="116"/>
      <c r="AF4768" s="116"/>
      <c r="AG4768" s="116"/>
      <c r="AH4768" s="116"/>
      <c r="AI4768" s="116"/>
    </row>
    <row r="4769" spans="27:35" ht="18">
      <c r="AA4769" s="116"/>
      <c r="AB4769" s="87"/>
      <c r="AC4769" s="116"/>
      <c r="AD4769" s="116"/>
      <c r="AE4769" s="116"/>
      <c r="AF4769" s="116"/>
      <c r="AG4769" s="116"/>
      <c r="AH4769" s="116"/>
      <c r="AI4769" s="116"/>
    </row>
    <row r="4770" spans="27:35" ht="18">
      <c r="AA4770" s="116"/>
      <c r="AB4770" s="87"/>
      <c r="AC4770" s="116"/>
      <c r="AD4770" s="116"/>
      <c r="AE4770" s="116"/>
      <c r="AF4770" s="116"/>
      <c r="AG4770" s="116"/>
      <c r="AH4770" s="116"/>
      <c r="AI4770" s="116"/>
    </row>
    <row r="4771" spans="27:35" ht="18">
      <c r="AA4771" s="116"/>
      <c r="AB4771" s="184"/>
      <c r="AC4771" s="116"/>
      <c r="AD4771" s="116"/>
      <c r="AE4771" s="116"/>
      <c r="AF4771" s="116"/>
      <c r="AG4771" s="116"/>
      <c r="AH4771" s="116"/>
      <c r="AI4771" s="116"/>
    </row>
    <row r="4772" spans="27:35" ht="18">
      <c r="AA4772" s="116"/>
      <c r="AB4772" s="87"/>
      <c r="AC4772" s="116"/>
      <c r="AD4772" s="116"/>
      <c r="AE4772" s="116"/>
      <c r="AF4772" s="116"/>
      <c r="AG4772" s="116"/>
      <c r="AH4772" s="116"/>
      <c r="AI4772" s="116"/>
    </row>
    <row r="4773" spans="27:35" ht="18">
      <c r="AA4773" s="116"/>
      <c r="AB4773" s="87"/>
      <c r="AC4773" s="116"/>
      <c r="AD4773" s="116"/>
      <c r="AE4773" s="116"/>
      <c r="AF4773" s="116"/>
      <c r="AG4773" s="116"/>
      <c r="AH4773" s="116"/>
      <c r="AI4773" s="116"/>
    </row>
    <row r="4774" spans="27:35" ht="18">
      <c r="AA4774" s="116"/>
      <c r="AB4774" s="184"/>
      <c r="AC4774" s="116"/>
      <c r="AD4774" s="116"/>
      <c r="AE4774" s="116"/>
      <c r="AF4774" s="116"/>
      <c r="AG4774" s="116"/>
      <c r="AH4774" s="116"/>
      <c r="AI4774" s="116"/>
    </row>
    <row r="4775" spans="27:35" ht="18">
      <c r="AA4775" s="116"/>
      <c r="AB4775" s="87"/>
      <c r="AC4775" s="116"/>
      <c r="AD4775" s="116"/>
      <c r="AE4775" s="116"/>
      <c r="AF4775" s="116"/>
      <c r="AG4775" s="116"/>
      <c r="AH4775" s="116"/>
      <c r="AI4775" s="116"/>
    </row>
    <row r="4776" spans="27:35" ht="18">
      <c r="AA4776" s="116"/>
      <c r="AB4776" s="87"/>
      <c r="AC4776" s="116"/>
      <c r="AD4776" s="116"/>
      <c r="AE4776" s="116"/>
      <c r="AF4776" s="116"/>
      <c r="AG4776" s="116"/>
      <c r="AH4776" s="116"/>
      <c r="AI4776" s="116"/>
    </row>
    <row r="4777" spans="27:35" ht="18">
      <c r="AA4777" s="116"/>
      <c r="AB4777" s="87"/>
      <c r="AC4777" s="116"/>
      <c r="AD4777" s="116"/>
      <c r="AE4777" s="116"/>
      <c r="AF4777" s="116"/>
      <c r="AG4777" s="116"/>
      <c r="AH4777" s="116"/>
      <c r="AI4777" s="116"/>
    </row>
    <row r="4778" spans="27:35" ht="18">
      <c r="AA4778" s="116"/>
      <c r="AB4778" s="184"/>
      <c r="AC4778" s="116"/>
      <c r="AD4778" s="116"/>
      <c r="AE4778" s="116"/>
      <c r="AF4778" s="116"/>
      <c r="AG4778" s="116"/>
      <c r="AH4778" s="116"/>
      <c r="AI4778" s="116"/>
    </row>
    <row r="4779" spans="27:35" ht="18">
      <c r="AA4779" s="116"/>
      <c r="AB4779" s="184"/>
      <c r="AC4779" s="116"/>
      <c r="AD4779" s="116"/>
      <c r="AE4779" s="116"/>
      <c r="AF4779" s="116"/>
      <c r="AG4779" s="116"/>
      <c r="AH4779" s="116"/>
      <c r="AI4779" s="116"/>
    </row>
    <row r="4780" spans="27:35" ht="18">
      <c r="AA4780" s="116"/>
      <c r="AB4780" s="87"/>
      <c r="AC4780" s="116"/>
      <c r="AD4780" s="116"/>
      <c r="AE4780" s="116"/>
      <c r="AF4780" s="116"/>
      <c r="AG4780" s="116"/>
      <c r="AH4780" s="116"/>
      <c r="AI4780" s="116"/>
    </row>
    <row r="4781" spans="27:35" ht="18">
      <c r="AA4781" s="116"/>
      <c r="AB4781" s="87"/>
      <c r="AC4781" s="116"/>
      <c r="AD4781" s="116"/>
      <c r="AE4781" s="116"/>
      <c r="AF4781" s="116"/>
      <c r="AG4781" s="116"/>
      <c r="AH4781" s="116"/>
      <c r="AI4781" s="116"/>
    </row>
    <row r="4782" spans="27:35" ht="18">
      <c r="AA4782" s="116"/>
      <c r="AB4782" s="87"/>
      <c r="AC4782" s="116"/>
      <c r="AD4782" s="116"/>
      <c r="AE4782" s="116"/>
      <c r="AF4782" s="116"/>
      <c r="AG4782" s="116"/>
      <c r="AH4782" s="116"/>
      <c r="AI4782" s="116"/>
    </row>
    <row r="4783" spans="27:35" ht="18">
      <c r="AA4783" s="116"/>
      <c r="AB4783" s="87"/>
      <c r="AC4783" s="116"/>
      <c r="AD4783" s="116"/>
      <c r="AE4783" s="116"/>
      <c r="AF4783" s="116"/>
      <c r="AG4783" s="116"/>
      <c r="AH4783" s="116"/>
      <c r="AI4783" s="116"/>
    </row>
    <row r="4784" spans="27:35" ht="18">
      <c r="AA4784" s="116"/>
      <c r="AB4784" s="87"/>
      <c r="AC4784" s="116"/>
      <c r="AD4784" s="116"/>
      <c r="AE4784" s="116"/>
      <c r="AF4784" s="116"/>
      <c r="AG4784" s="116"/>
      <c r="AH4784" s="116"/>
      <c r="AI4784" s="116"/>
    </row>
    <row r="4785" spans="27:35" ht="18">
      <c r="AA4785" s="116"/>
      <c r="AB4785" s="184"/>
      <c r="AC4785" s="116"/>
      <c r="AD4785" s="116"/>
      <c r="AE4785" s="116"/>
      <c r="AF4785" s="116"/>
      <c r="AG4785" s="116"/>
      <c r="AH4785" s="116"/>
      <c r="AI4785" s="116"/>
    </row>
    <row r="4786" spans="27:35" ht="18">
      <c r="AA4786" s="116"/>
      <c r="AB4786" s="184"/>
      <c r="AC4786" s="116"/>
      <c r="AD4786" s="116"/>
      <c r="AE4786" s="116"/>
      <c r="AF4786" s="116"/>
      <c r="AG4786" s="116"/>
      <c r="AH4786" s="116"/>
      <c r="AI4786" s="116"/>
    </row>
    <row r="4787" spans="27:35" ht="18">
      <c r="AA4787" s="116"/>
      <c r="AB4787" s="184"/>
      <c r="AC4787" s="116"/>
      <c r="AD4787" s="116"/>
      <c r="AE4787" s="116"/>
      <c r="AF4787" s="116"/>
      <c r="AG4787" s="116"/>
      <c r="AH4787" s="116"/>
      <c r="AI4787" s="116"/>
    </row>
    <row r="4788" spans="27:35" ht="18">
      <c r="AA4788" s="116"/>
      <c r="AB4788" s="87"/>
      <c r="AC4788" s="116"/>
      <c r="AD4788" s="116"/>
      <c r="AE4788" s="116"/>
      <c r="AF4788" s="116"/>
      <c r="AG4788" s="116"/>
      <c r="AH4788" s="116"/>
      <c r="AI4788" s="116"/>
    </row>
    <row r="4789" spans="27:35" ht="18">
      <c r="AA4789" s="116"/>
      <c r="AB4789" s="87"/>
      <c r="AC4789" s="116"/>
      <c r="AD4789" s="116"/>
      <c r="AE4789" s="116"/>
      <c r="AF4789" s="116"/>
      <c r="AG4789" s="116"/>
      <c r="AH4789" s="116"/>
      <c r="AI4789" s="116"/>
    </row>
    <row r="4790" spans="27:35" ht="18">
      <c r="AA4790" s="116"/>
      <c r="AB4790" s="87"/>
      <c r="AC4790" s="116"/>
      <c r="AD4790" s="116"/>
      <c r="AE4790" s="116"/>
      <c r="AF4790" s="116"/>
      <c r="AG4790" s="116"/>
      <c r="AH4790" s="116"/>
      <c r="AI4790" s="116"/>
    </row>
    <row r="4791" spans="27:35" ht="18">
      <c r="AA4791" s="116"/>
      <c r="AB4791" s="184"/>
      <c r="AC4791" s="116"/>
      <c r="AD4791" s="116"/>
      <c r="AE4791" s="116"/>
      <c r="AF4791" s="116"/>
      <c r="AG4791" s="116"/>
      <c r="AH4791" s="116"/>
      <c r="AI4791" s="116"/>
    </row>
    <row r="4792" spans="27:35" ht="18">
      <c r="AA4792" s="116"/>
      <c r="AB4792" s="184"/>
      <c r="AC4792" s="116"/>
      <c r="AD4792" s="116"/>
      <c r="AE4792" s="116"/>
      <c r="AF4792" s="116"/>
      <c r="AG4792" s="116"/>
      <c r="AH4792" s="116"/>
      <c r="AI4792" s="116"/>
    </row>
    <row r="4793" spans="27:35" ht="18">
      <c r="AA4793" s="116"/>
      <c r="AB4793" s="184"/>
      <c r="AC4793" s="116"/>
      <c r="AD4793" s="116"/>
      <c r="AE4793" s="116"/>
      <c r="AF4793" s="116"/>
      <c r="AG4793" s="116"/>
      <c r="AH4793" s="116"/>
      <c r="AI4793" s="116"/>
    </row>
    <row r="4794" spans="27:35" ht="18">
      <c r="AA4794" s="116"/>
      <c r="AB4794" s="87"/>
      <c r="AC4794" s="116"/>
      <c r="AD4794" s="116"/>
      <c r="AE4794" s="116"/>
      <c r="AF4794" s="116"/>
      <c r="AG4794" s="116"/>
      <c r="AH4794" s="116"/>
      <c r="AI4794" s="116"/>
    </row>
    <row r="4795" spans="27:35" ht="18">
      <c r="AA4795" s="116"/>
      <c r="AB4795" s="87"/>
      <c r="AC4795" s="116"/>
      <c r="AD4795" s="116"/>
      <c r="AE4795" s="116"/>
      <c r="AF4795" s="116"/>
      <c r="AG4795" s="116"/>
      <c r="AH4795" s="116"/>
      <c r="AI4795" s="116"/>
    </row>
    <row r="4796" spans="27:35" ht="18">
      <c r="AA4796" s="116"/>
      <c r="AB4796" s="184"/>
      <c r="AC4796" s="116"/>
      <c r="AD4796" s="116"/>
      <c r="AE4796" s="116"/>
      <c r="AF4796" s="116"/>
      <c r="AG4796" s="116"/>
      <c r="AH4796" s="116"/>
      <c r="AI4796" s="116"/>
    </row>
    <row r="4797" spans="27:35" ht="18">
      <c r="AA4797" s="116"/>
      <c r="AB4797" s="87"/>
      <c r="AC4797" s="116"/>
      <c r="AD4797" s="116"/>
      <c r="AE4797" s="116"/>
      <c r="AF4797" s="116"/>
      <c r="AG4797" s="116"/>
      <c r="AH4797" s="116"/>
      <c r="AI4797" s="116"/>
    </row>
    <row r="4798" spans="27:35" ht="18">
      <c r="AA4798" s="116"/>
      <c r="AB4798" s="87"/>
      <c r="AC4798" s="116"/>
      <c r="AD4798" s="116"/>
      <c r="AE4798" s="116"/>
      <c r="AF4798" s="116"/>
      <c r="AG4798" s="116"/>
      <c r="AH4798" s="116"/>
      <c r="AI4798" s="116"/>
    </row>
    <row r="4799" spans="27:35" ht="18">
      <c r="AA4799" s="116"/>
      <c r="AB4799" s="184"/>
      <c r="AC4799" s="116"/>
      <c r="AD4799" s="116"/>
      <c r="AE4799" s="116"/>
      <c r="AF4799" s="116"/>
      <c r="AG4799" s="116"/>
      <c r="AH4799" s="116"/>
      <c r="AI4799" s="116"/>
    </row>
    <row r="4800" spans="27:35" ht="18">
      <c r="AA4800" s="116"/>
      <c r="AB4800" s="87"/>
      <c r="AC4800" s="116"/>
      <c r="AD4800" s="116"/>
      <c r="AE4800" s="116"/>
      <c r="AF4800" s="116"/>
      <c r="AG4800" s="116"/>
      <c r="AH4800" s="116"/>
      <c r="AI4800" s="116"/>
    </row>
    <row r="4801" spans="27:35" ht="18">
      <c r="AA4801" s="116"/>
      <c r="AB4801" s="87"/>
      <c r="AC4801" s="116"/>
      <c r="AD4801" s="116"/>
      <c r="AE4801" s="116"/>
      <c r="AF4801" s="116"/>
      <c r="AG4801" s="116"/>
      <c r="AH4801" s="116"/>
      <c r="AI4801" s="116"/>
    </row>
    <row r="4802" spans="27:35" ht="18">
      <c r="AA4802" s="116"/>
      <c r="AB4802" s="184"/>
      <c r="AC4802" s="116"/>
      <c r="AD4802" s="116"/>
      <c r="AE4802" s="116"/>
      <c r="AF4802" s="116"/>
      <c r="AG4802" s="116"/>
      <c r="AH4802" s="116"/>
      <c r="AI4802" s="116"/>
    </row>
    <row r="4803" spans="27:35" ht="18">
      <c r="AA4803" s="116"/>
      <c r="AB4803" s="87"/>
      <c r="AC4803" s="116"/>
      <c r="AD4803" s="116"/>
      <c r="AE4803" s="116"/>
      <c r="AF4803" s="116"/>
      <c r="AG4803" s="116"/>
      <c r="AH4803" s="116"/>
      <c r="AI4803" s="116"/>
    </row>
    <row r="4804" spans="27:35" ht="18">
      <c r="AA4804" s="116"/>
      <c r="AB4804" s="87"/>
      <c r="AC4804" s="116"/>
      <c r="AD4804" s="116"/>
      <c r="AE4804" s="116"/>
      <c r="AF4804" s="116"/>
      <c r="AG4804" s="116"/>
      <c r="AH4804" s="116"/>
      <c r="AI4804" s="116"/>
    </row>
    <row r="4805" spans="27:35" ht="18">
      <c r="AA4805" s="116"/>
      <c r="AB4805" s="184"/>
      <c r="AC4805" s="116"/>
      <c r="AD4805" s="116"/>
      <c r="AE4805" s="116"/>
      <c r="AF4805" s="116"/>
      <c r="AG4805" s="116"/>
      <c r="AH4805" s="116"/>
      <c r="AI4805" s="116"/>
    </row>
    <row r="4806" spans="27:35" ht="18">
      <c r="AA4806" s="116"/>
      <c r="AB4806" s="87"/>
      <c r="AC4806" s="116"/>
      <c r="AD4806" s="116"/>
      <c r="AE4806" s="116"/>
      <c r="AF4806" s="116"/>
      <c r="AG4806" s="116"/>
      <c r="AH4806" s="116"/>
      <c r="AI4806" s="116"/>
    </row>
    <row r="4807" spans="27:35" ht="18">
      <c r="AA4807" s="116"/>
      <c r="AB4807" s="87"/>
      <c r="AC4807" s="116"/>
      <c r="AD4807" s="116"/>
      <c r="AE4807" s="116"/>
      <c r="AF4807" s="116"/>
      <c r="AG4807" s="116"/>
      <c r="AH4807" s="116"/>
      <c r="AI4807" s="116"/>
    </row>
    <row r="4808" spans="27:35" ht="18">
      <c r="AA4808" s="116"/>
      <c r="AB4808" s="87"/>
      <c r="AC4808" s="116"/>
      <c r="AD4808" s="116"/>
      <c r="AE4808" s="116"/>
      <c r="AF4808" s="116"/>
      <c r="AG4808" s="116"/>
      <c r="AH4808" s="116"/>
      <c r="AI4808" s="116"/>
    </row>
    <row r="4809" spans="27:35" ht="18">
      <c r="AA4809" s="116"/>
      <c r="AB4809" s="87"/>
      <c r="AC4809" s="116"/>
      <c r="AD4809" s="116"/>
      <c r="AE4809" s="116"/>
      <c r="AF4809" s="116"/>
      <c r="AG4809" s="116"/>
      <c r="AH4809" s="116"/>
      <c r="AI4809" s="116"/>
    </row>
    <row r="4810" spans="27:35" ht="18">
      <c r="AA4810" s="116"/>
      <c r="AB4810" s="87"/>
      <c r="AC4810" s="116"/>
      <c r="AD4810" s="116"/>
      <c r="AE4810" s="116"/>
      <c r="AF4810" s="116"/>
      <c r="AG4810" s="116"/>
      <c r="AH4810" s="116"/>
      <c r="AI4810" s="116"/>
    </row>
    <row r="4811" spans="27:35" ht="18">
      <c r="AA4811" s="116"/>
      <c r="AB4811" s="184"/>
      <c r="AC4811" s="116"/>
      <c r="AD4811" s="116"/>
      <c r="AE4811" s="116"/>
      <c r="AF4811" s="116"/>
      <c r="AG4811" s="116"/>
      <c r="AH4811" s="116"/>
      <c r="AI4811" s="116"/>
    </row>
    <row r="4812" spans="27:35" ht="18">
      <c r="AA4812" s="116"/>
      <c r="AB4812" s="184"/>
      <c r="AC4812" s="116"/>
      <c r="AD4812" s="116"/>
      <c r="AE4812" s="116"/>
      <c r="AF4812" s="116"/>
      <c r="AG4812" s="116"/>
      <c r="AH4812" s="116"/>
      <c r="AI4812" s="116"/>
    </row>
    <row r="4813" spans="27:35" ht="18">
      <c r="AA4813" s="116"/>
      <c r="AB4813" s="87"/>
      <c r="AC4813" s="116"/>
      <c r="AD4813" s="116"/>
      <c r="AE4813" s="116"/>
      <c r="AF4813" s="116"/>
      <c r="AG4813" s="116"/>
      <c r="AH4813" s="116"/>
      <c r="AI4813" s="116"/>
    </row>
    <row r="4814" spans="27:35" ht="18">
      <c r="AA4814" s="116"/>
      <c r="AB4814" s="87"/>
      <c r="AC4814" s="116"/>
      <c r="AD4814" s="116"/>
      <c r="AE4814" s="116"/>
      <c r="AF4814" s="116"/>
      <c r="AG4814" s="116"/>
      <c r="AH4814" s="116"/>
      <c r="AI4814" s="116"/>
    </row>
    <row r="4815" spans="27:35" ht="18">
      <c r="AA4815" s="116"/>
      <c r="AB4815" s="87"/>
      <c r="AC4815" s="116"/>
      <c r="AD4815" s="116"/>
      <c r="AE4815" s="116"/>
      <c r="AF4815" s="116"/>
      <c r="AG4815" s="116"/>
      <c r="AH4815" s="116"/>
      <c r="AI4815" s="116"/>
    </row>
    <row r="4816" spans="27:35" ht="18">
      <c r="AA4816" s="116"/>
      <c r="AB4816" s="184"/>
      <c r="AC4816" s="116"/>
      <c r="AD4816" s="116"/>
      <c r="AE4816" s="116"/>
      <c r="AF4816" s="116"/>
      <c r="AG4816" s="116"/>
      <c r="AH4816" s="116"/>
      <c r="AI4816" s="116"/>
    </row>
    <row r="4817" spans="27:35" ht="18">
      <c r="AA4817" s="116"/>
      <c r="AB4817" s="184"/>
      <c r="AC4817" s="116"/>
      <c r="AD4817" s="116"/>
      <c r="AE4817" s="116"/>
      <c r="AF4817" s="116"/>
      <c r="AG4817" s="116"/>
      <c r="AH4817" s="116"/>
      <c r="AI4817" s="116"/>
    </row>
    <row r="4818" spans="27:35" ht="18">
      <c r="AA4818" s="116"/>
      <c r="AB4818" s="87"/>
      <c r="AC4818" s="116"/>
      <c r="AD4818" s="116"/>
      <c r="AE4818" s="116"/>
      <c r="AF4818" s="116"/>
      <c r="AG4818" s="116"/>
      <c r="AH4818" s="116"/>
      <c r="AI4818" s="116"/>
    </row>
    <row r="4819" spans="27:35" ht="18">
      <c r="AA4819" s="116"/>
      <c r="AB4819" s="87"/>
      <c r="AC4819" s="116"/>
      <c r="AD4819" s="116"/>
      <c r="AE4819" s="116"/>
      <c r="AF4819" s="116"/>
      <c r="AG4819" s="116"/>
      <c r="AH4819" s="116"/>
      <c r="AI4819" s="116"/>
    </row>
    <row r="4820" spans="27:35" ht="18">
      <c r="AA4820" s="116"/>
      <c r="AB4820" s="87"/>
      <c r="AC4820" s="116"/>
      <c r="AD4820" s="116"/>
      <c r="AE4820" s="116"/>
      <c r="AF4820" s="116"/>
      <c r="AG4820" s="116"/>
      <c r="AH4820" s="116"/>
      <c r="AI4820" s="116"/>
    </row>
    <row r="4821" spans="27:35" ht="18">
      <c r="AA4821" s="116"/>
      <c r="AB4821" s="87"/>
      <c r="AC4821" s="116"/>
      <c r="AD4821" s="116"/>
      <c r="AE4821" s="116"/>
      <c r="AF4821" s="116"/>
      <c r="AG4821" s="116"/>
      <c r="AH4821" s="116"/>
      <c r="AI4821" s="116"/>
    </row>
    <row r="4822" spans="27:35" ht="18">
      <c r="AA4822" s="116"/>
      <c r="AB4822" s="87"/>
      <c r="AC4822" s="116"/>
      <c r="AD4822" s="116"/>
      <c r="AE4822" s="116"/>
      <c r="AF4822" s="116"/>
      <c r="AG4822" s="116"/>
      <c r="AH4822" s="116"/>
      <c r="AI4822" s="116"/>
    </row>
    <row r="4823" spans="27:35" ht="18">
      <c r="AA4823" s="116"/>
      <c r="AB4823" s="87"/>
      <c r="AC4823" s="116"/>
      <c r="AD4823" s="116"/>
      <c r="AE4823" s="116"/>
      <c r="AF4823" s="116"/>
      <c r="AG4823" s="116"/>
      <c r="AH4823" s="116"/>
      <c r="AI4823" s="116"/>
    </row>
    <row r="4824" spans="27:35" ht="18">
      <c r="AA4824" s="116"/>
      <c r="AB4824" s="87"/>
      <c r="AC4824" s="116"/>
      <c r="AD4824" s="116"/>
      <c r="AE4824" s="116"/>
      <c r="AF4824" s="116"/>
      <c r="AG4824" s="116"/>
      <c r="AH4824" s="116"/>
      <c r="AI4824" s="116"/>
    </row>
    <row r="4825" spans="27:35" ht="18">
      <c r="AA4825" s="116"/>
      <c r="AB4825" s="87"/>
      <c r="AC4825" s="116"/>
      <c r="AD4825" s="116"/>
      <c r="AE4825" s="116"/>
      <c r="AF4825" s="116"/>
      <c r="AG4825" s="116"/>
      <c r="AH4825" s="116"/>
      <c r="AI4825" s="116"/>
    </row>
    <row r="4826" spans="27:35" ht="18">
      <c r="AA4826" s="116"/>
      <c r="AB4826" s="87"/>
      <c r="AC4826" s="116"/>
      <c r="AD4826" s="116"/>
      <c r="AE4826" s="116"/>
      <c r="AF4826" s="116"/>
      <c r="AG4826" s="116"/>
      <c r="AH4826" s="116"/>
      <c r="AI4826" s="116"/>
    </row>
    <row r="4827" spans="27:35" ht="18">
      <c r="AA4827" s="116"/>
      <c r="AB4827" s="87"/>
      <c r="AC4827" s="116"/>
      <c r="AD4827" s="116"/>
      <c r="AE4827" s="116"/>
      <c r="AF4827" s="116"/>
      <c r="AG4827" s="116"/>
      <c r="AH4827" s="116"/>
      <c r="AI4827" s="116"/>
    </row>
    <row r="4828" spans="27:35" ht="18">
      <c r="AA4828" s="116"/>
      <c r="AB4828" s="87"/>
      <c r="AC4828" s="116"/>
      <c r="AD4828" s="116"/>
      <c r="AE4828" s="116"/>
      <c r="AF4828" s="116"/>
      <c r="AG4828" s="116"/>
      <c r="AH4828" s="116"/>
      <c r="AI4828" s="116"/>
    </row>
    <row r="4829" spans="27:35" ht="18">
      <c r="AA4829" s="116"/>
      <c r="AB4829" s="87"/>
      <c r="AC4829" s="116"/>
      <c r="AD4829" s="116"/>
      <c r="AE4829" s="116"/>
      <c r="AF4829" s="116"/>
      <c r="AG4829" s="116"/>
      <c r="AH4829" s="116"/>
      <c r="AI4829" s="116"/>
    </row>
    <row r="4830" spans="27:35" ht="18">
      <c r="AA4830" s="116"/>
      <c r="AB4830" s="87"/>
      <c r="AC4830" s="116"/>
      <c r="AD4830" s="116"/>
      <c r="AE4830" s="116"/>
      <c r="AF4830" s="116"/>
      <c r="AG4830" s="116"/>
      <c r="AH4830" s="116"/>
      <c r="AI4830" s="116"/>
    </row>
    <row r="4831" spans="27:35" ht="18">
      <c r="AA4831" s="116"/>
      <c r="AB4831" s="87"/>
      <c r="AC4831" s="116"/>
      <c r="AD4831" s="116"/>
      <c r="AE4831" s="116"/>
      <c r="AF4831" s="116"/>
      <c r="AG4831" s="116"/>
      <c r="AH4831" s="116"/>
      <c r="AI4831" s="116"/>
    </row>
    <row r="4832" spans="27:35" ht="18">
      <c r="AA4832" s="116"/>
      <c r="AB4832" s="87"/>
      <c r="AC4832" s="116"/>
      <c r="AD4832" s="116"/>
      <c r="AE4832" s="116"/>
      <c r="AF4832" s="116"/>
      <c r="AG4832" s="116"/>
      <c r="AH4832" s="116"/>
      <c r="AI4832" s="116"/>
    </row>
    <row r="4833" spans="27:35" ht="18">
      <c r="AA4833" s="116"/>
      <c r="AB4833" s="87"/>
      <c r="AC4833" s="116"/>
      <c r="AD4833" s="116"/>
      <c r="AE4833" s="116"/>
      <c r="AF4833" s="116"/>
      <c r="AG4833" s="116"/>
      <c r="AH4833" s="116"/>
      <c r="AI4833" s="116"/>
    </row>
    <row r="4834" spans="27:35" ht="18">
      <c r="AA4834" s="116"/>
      <c r="AB4834" s="87"/>
      <c r="AC4834" s="116"/>
      <c r="AD4834" s="116"/>
      <c r="AE4834" s="116"/>
      <c r="AF4834" s="116"/>
      <c r="AG4834" s="116"/>
      <c r="AH4834" s="116"/>
      <c r="AI4834" s="116"/>
    </row>
    <row r="4835" spans="27:35" ht="18">
      <c r="AA4835" s="116"/>
      <c r="AB4835" s="87"/>
      <c r="AC4835" s="116"/>
      <c r="AD4835" s="116"/>
      <c r="AE4835" s="116"/>
      <c r="AF4835" s="116"/>
      <c r="AG4835" s="116"/>
      <c r="AH4835" s="116"/>
      <c r="AI4835" s="116"/>
    </row>
    <row r="4836" spans="27:35" ht="18">
      <c r="AA4836" s="116"/>
      <c r="AB4836" s="87"/>
      <c r="AC4836" s="116"/>
      <c r="AD4836" s="116"/>
      <c r="AE4836" s="116"/>
      <c r="AF4836" s="116"/>
      <c r="AG4836" s="116"/>
      <c r="AH4836" s="116"/>
      <c r="AI4836" s="116"/>
    </row>
    <row r="4837" spans="27:35" ht="18">
      <c r="AA4837" s="116"/>
      <c r="AB4837" s="87"/>
      <c r="AC4837" s="116"/>
      <c r="AD4837" s="116"/>
      <c r="AE4837" s="116"/>
      <c r="AF4837" s="116"/>
      <c r="AG4837" s="116"/>
      <c r="AH4837" s="116"/>
      <c r="AI4837" s="116"/>
    </row>
    <row r="4838" spans="27:35" ht="18">
      <c r="AA4838" s="116"/>
      <c r="AB4838" s="87"/>
      <c r="AC4838" s="116"/>
      <c r="AD4838" s="116"/>
      <c r="AE4838" s="116"/>
      <c r="AF4838" s="116"/>
      <c r="AG4838" s="116"/>
      <c r="AH4838" s="116"/>
      <c r="AI4838" s="116"/>
    </row>
    <row r="4839" spans="27:35" ht="18">
      <c r="AA4839" s="116"/>
      <c r="AB4839" s="87"/>
      <c r="AC4839" s="116"/>
      <c r="AD4839" s="116"/>
      <c r="AE4839" s="116"/>
      <c r="AF4839" s="116"/>
      <c r="AG4839" s="116"/>
      <c r="AH4839" s="116"/>
      <c r="AI4839" s="116"/>
    </row>
    <row r="4840" spans="27:35" ht="18">
      <c r="AA4840" s="116"/>
      <c r="AB4840" s="87"/>
      <c r="AC4840" s="116"/>
      <c r="AD4840" s="116"/>
      <c r="AE4840" s="116"/>
      <c r="AF4840" s="116"/>
      <c r="AG4840" s="116"/>
      <c r="AH4840" s="116"/>
      <c r="AI4840" s="116"/>
    </row>
    <row r="4841" spans="27:35" ht="18">
      <c r="AA4841" s="116"/>
      <c r="AB4841" s="87"/>
      <c r="AC4841" s="116"/>
      <c r="AD4841" s="116"/>
      <c r="AE4841" s="116"/>
      <c r="AF4841" s="116"/>
      <c r="AG4841" s="116"/>
      <c r="AH4841" s="116"/>
      <c r="AI4841" s="116"/>
    </row>
    <row r="4842" spans="27:35" ht="18">
      <c r="AA4842" s="116"/>
      <c r="AB4842" s="87"/>
      <c r="AC4842" s="116"/>
      <c r="AD4842" s="116"/>
      <c r="AE4842" s="116"/>
      <c r="AF4842" s="116"/>
      <c r="AG4842" s="116"/>
      <c r="AH4842" s="116"/>
      <c r="AI4842" s="116"/>
    </row>
    <row r="4843" spans="27:35" ht="18">
      <c r="AA4843" s="116"/>
      <c r="AB4843" s="87"/>
      <c r="AC4843" s="116"/>
      <c r="AD4843" s="116"/>
      <c r="AE4843" s="116"/>
      <c r="AF4843" s="116"/>
      <c r="AG4843" s="116"/>
      <c r="AH4843" s="116"/>
      <c r="AI4843" s="116"/>
    </row>
    <row r="4844" spans="27:35" ht="18">
      <c r="AA4844" s="116"/>
      <c r="AB4844" s="87"/>
      <c r="AC4844" s="116"/>
      <c r="AD4844" s="116"/>
      <c r="AE4844" s="116"/>
      <c r="AF4844" s="116"/>
      <c r="AG4844" s="116"/>
      <c r="AH4844" s="116"/>
      <c r="AI4844" s="116"/>
    </row>
    <row r="4845" spans="27:35" ht="18">
      <c r="AA4845" s="116"/>
      <c r="AB4845" s="87"/>
      <c r="AC4845" s="116"/>
      <c r="AD4845" s="116"/>
      <c r="AE4845" s="116"/>
      <c r="AF4845" s="116"/>
      <c r="AG4845" s="116"/>
      <c r="AH4845" s="116"/>
      <c r="AI4845" s="116"/>
    </row>
    <row r="4846" spans="27:35" ht="18">
      <c r="AA4846" s="116"/>
      <c r="AB4846" s="87"/>
      <c r="AC4846" s="116"/>
      <c r="AD4846" s="116"/>
      <c r="AE4846" s="116"/>
      <c r="AF4846" s="116"/>
      <c r="AG4846" s="116"/>
      <c r="AH4846" s="116"/>
      <c r="AI4846" s="116"/>
    </row>
    <row r="4847" spans="27:35" ht="18">
      <c r="AA4847" s="116"/>
      <c r="AB4847" s="87"/>
      <c r="AC4847" s="116"/>
      <c r="AD4847" s="116"/>
      <c r="AE4847" s="116"/>
      <c r="AF4847" s="116"/>
      <c r="AG4847" s="116"/>
      <c r="AH4847" s="116"/>
      <c r="AI4847" s="116"/>
    </row>
    <row r="4848" spans="27:35" ht="18">
      <c r="AA4848" s="116"/>
      <c r="AB4848" s="87"/>
      <c r="AC4848" s="116"/>
      <c r="AD4848" s="116"/>
      <c r="AE4848" s="116"/>
      <c r="AF4848" s="116"/>
      <c r="AG4848" s="116"/>
      <c r="AH4848" s="116"/>
      <c r="AI4848" s="116"/>
    </row>
    <row r="4849" spans="27:35" ht="18">
      <c r="AA4849" s="116"/>
      <c r="AB4849" s="87"/>
      <c r="AC4849" s="116"/>
      <c r="AD4849" s="116"/>
      <c r="AE4849" s="116"/>
      <c r="AF4849" s="116"/>
      <c r="AG4849" s="116"/>
      <c r="AH4849" s="116"/>
      <c r="AI4849" s="116"/>
    </row>
    <row r="4850" spans="27:35" ht="18">
      <c r="AA4850" s="116"/>
      <c r="AB4850" s="87"/>
      <c r="AC4850" s="116"/>
      <c r="AD4850" s="116"/>
      <c r="AE4850" s="116"/>
      <c r="AF4850" s="116"/>
      <c r="AG4850" s="116"/>
      <c r="AH4850" s="116"/>
      <c r="AI4850" s="116"/>
    </row>
    <row r="4851" spans="27:35" ht="18">
      <c r="AA4851" s="116"/>
      <c r="AB4851" s="87"/>
      <c r="AC4851" s="116"/>
      <c r="AD4851" s="116"/>
      <c r="AE4851" s="116"/>
      <c r="AF4851" s="116"/>
      <c r="AG4851" s="116"/>
      <c r="AH4851" s="116"/>
      <c r="AI4851" s="116"/>
    </row>
    <row r="4852" spans="27:35" ht="18">
      <c r="AA4852" s="116"/>
      <c r="AB4852" s="87"/>
      <c r="AC4852" s="116"/>
      <c r="AD4852" s="116"/>
      <c r="AE4852" s="116"/>
      <c r="AF4852" s="116"/>
      <c r="AG4852" s="116"/>
      <c r="AH4852" s="116"/>
      <c r="AI4852" s="116"/>
    </row>
    <row r="4853" spans="27:35" ht="18">
      <c r="AA4853" s="116"/>
      <c r="AB4853" s="87"/>
      <c r="AC4853" s="116"/>
      <c r="AD4853" s="116"/>
      <c r="AE4853" s="116"/>
      <c r="AF4853" s="116"/>
      <c r="AG4853" s="116"/>
      <c r="AH4853" s="116"/>
      <c r="AI4853" s="116"/>
    </row>
    <row r="4854" spans="27:35" ht="18">
      <c r="AA4854" s="116"/>
      <c r="AB4854" s="87"/>
      <c r="AC4854" s="116"/>
      <c r="AD4854" s="116"/>
      <c r="AE4854" s="116"/>
      <c r="AF4854" s="116"/>
      <c r="AG4854" s="116"/>
      <c r="AH4854" s="116"/>
      <c r="AI4854" s="116"/>
    </row>
    <row r="4855" spans="27:35" ht="18">
      <c r="AA4855" s="116"/>
      <c r="AB4855" s="87"/>
      <c r="AC4855" s="116"/>
      <c r="AD4855" s="116"/>
      <c r="AE4855" s="116"/>
      <c r="AF4855" s="116"/>
      <c r="AG4855" s="116"/>
      <c r="AH4855" s="116"/>
      <c r="AI4855" s="116"/>
    </row>
    <row r="4856" spans="27:35" ht="18">
      <c r="AA4856" s="116"/>
      <c r="AB4856" s="87"/>
      <c r="AC4856" s="116"/>
      <c r="AD4856" s="116"/>
      <c r="AE4856" s="116"/>
      <c r="AF4856" s="116"/>
      <c r="AG4856" s="116"/>
      <c r="AH4856" s="116"/>
      <c r="AI4856" s="116"/>
    </row>
    <row r="4857" spans="27:35" ht="18">
      <c r="AA4857" s="116"/>
      <c r="AB4857" s="87"/>
      <c r="AC4857" s="116"/>
      <c r="AD4857" s="116"/>
      <c r="AE4857" s="116"/>
      <c r="AF4857" s="116"/>
      <c r="AG4857" s="116"/>
      <c r="AH4857" s="116"/>
      <c r="AI4857" s="116"/>
    </row>
    <row r="4858" spans="27:35" ht="18">
      <c r="AA4858" s="116"/>
      <c r="AB4858" s="87"/>
      <c r="AC4858" s="116"/>
      <c r="AD4858" s="116"/>
      <c r="AE4858" s="116"/>
      <c r="AF4858" s="116"/>
      <c r="AG4858" s="116"/>
      <c r="AH4858" s="116"/>
      <c r="AI4858" s="116"/>
    </row>
    <row r="4859" spans="27:35" ht="18">
      <c r="AA4859" s="116"/>
      <c r="AB4859" s="87"/>
      <c r="AC4859" s="116"/>
      <c r="AD4859" s="116"/>
      <c r="AE4859" s="116"/>
      <c r="AF4859" s="116"/>
      <c r="AG4859" s="116"/>
      <c r="AH4859" s="116"/>
      <c r="AI4859" s="116"/>
    </row>
    <row r="4860" spans="27:35" ht="18">
      <c r="AA4860" s="116"/>
      <c r="AB4860" s="87"/>
      <c r="AC4860" s="116"/>
      <c r="AD4860" s="116"/>
      <c r="AE4860" s="116"/>
      <c r="AF4860" s="116"/>
      <c r="AG4860" s="116"/>
      <c r="AH4860" s="116"/>
      <c r="AI4860" s="116"/>
    </row>
    <row r="4861" spans="27:35" ht="18">
      <c r="AA4861" s="116"/>
      <c r="AB4861" s="184"/>
      <c r="AC4861" s="116"/>
      <c r="AD4861" s="116"/>
      <c r="AE4861" s="116"/>
      <c r="AF4861" s="116"/>
      <c r="AG4861" s="116"/>
      <c r="AH4861" s="116"/>
      <c r="AI4861" s="116"/>
    </row>
    <row r="4862" spans="27:35" ht="18">
      <c r="AA4862" s="116"/>
      <c r="AB4862" s="87"/>
      <c r="AC4862" s="116"/>
      <c r="AD4862" s="116"/>
      <c r="AE4862" s="116"/>
      <c r="AF4862" s="116"/>
      <c r="AG4862" s="116"/>
      <c r="AH4862" s="116"/>
      <c r="AI4862" s="116"/>
    </row>
    <row r="4863" spans="27:35" ht="18">
      <c r="AA4863" s="116"/>
      <c r="AB4863" s="87"/>
      <c r="AC4863" s="116"/>
      <c r="AD4863" s="116"/>
      <c r="AE4863" s="116"/>
      <c r="AF4863" s="116"/>
      <c r="AG4863" s="116"/>
      <c r="AH4863" s="116"/>
      <c r="AI4863" s="116"/>
    </row>
    <row r="4864" spans="27:35" ht="18">
      <c r="AA4864" s="116"/>
      <c r="AB4864" s="87"/>
      <c r="AC4864" s="116"/>
      <c r="AD4864" s="116"/>
      <c r="AE4864" s="116"/>
      <c r="AF4864" s="116"/>
      <c r="AG4864" s="116"/>
      <c r="AH4864" s="116"/>
      <c r="AI4864" s="116"/>
    </row>
    <row r="4865" spans="27:35" ht="18">
      <c r="AA4865" s="116"/>
      <c r="AB4865" s="87"/>
      <c r="AC4865" s="116"/>
      <c r="AD4865" s="116"/>
      <c r="AE4865" s="116"/>
      <c r="AF4865" s="116"/>
      <c r="AG4865" s="116"/>
      <c r="AH4865" s="116"/>
      <c r="AI4865" s="116"/>
    </row>
    <row r="4866" spans="27:35" ht="18">
      <c r="AA4866" s="116"/>
      <c r="AB4866" s="87"/>
      <c r="AC4866" s="116"/>
      <c r="AD4866" s="116"/>
      <c r="AE4866" s="116"/>
      <c r="AF4866" s="116"/>
      <c r="AG4866" s="116"/>
      <c r="AH4866" s="116"/>
      <c r="AI4866" s="116"/>
    </row>
    <row r="4867" spans="27:35" ht="18">
      <c r="AA4867" s="116"/>
      <c r="AB4867" s="87"/>
      <c r="AC4867" s="116"/>
      <c r="AD4867" s="116"/>
      <c r="AE4867" s="116"/>
      <c r="AF4867" s="116"/>
      <c r="AG4867" s="116"/>
      <c r="AH4867" s="116"/>
      <c r="AI4867" s="116"/>
    </row>
    <row r="4868" spans="27:35" ht="18">
      <c r="AA4868" s="116"/>
      <c r="AB4868" s="87"/>
      <c r="AC4868" s="116"/>
      <c r="AD4868" s="116"/>
      <c r="AE4868" s="116"/>
      <c r="AF4868" s="116"/>
      <c r="AG4868" s="116"/>
      <c r="AH4868" s="116"/>
      <c r="AI4868" s="116"/>
    </row>
    <row r="4869" spans="27:35" ht="18">
      <c r="AA4869" s="116"/>
      <c r="AB4869" s="87"/>
      <c r="AC4869" s="116"/>
      <c r="AD4869" s="116"/>
      <c r="AE4869" s="116"/>
      <c r="AF4869" s="116"/>
      <c r="AG4869" s="116"/>
      <c r="AH4869" s="116"/>
      <c r="AI4869" s="116"/>
    </row>
    <row r="4870" spans="27:35" ht="18">
      <c r="AA4870" s="116"/>
      <c r="AB4870" s="184"/>
      <c r="AC4870" s="116"/>
      <c r="AD4870" s="116"/>
      <c r="AE4870" s="116"/>
      <c r="AF4870" s="116"/>
      <c r="AG4870" s="116"/>
      <c r="AH4870" s="116"/>
      <c r="AI4870" s="116"/>
    </row>
    <row r="4871" spans="27:35" ht="18">
      <c r="AA4871" s="116"/>
      <c r="AB4871" s="87"/>
      <c r="AC4871" s="116"/>
      <c r="AD4871" s="116"/>
      <c r="AE4871" s="116"/>
      <c r="AF4871" s="116"/>
      <c r="AG4871" s="116"/>
      <c r="AH4871" s="116"/>
      <c r="AI4871" s="116"/>
    </row>
    <row r="4872" spans="27:35" ht="18">
      <c r="AA4872" s="116"/>
      <c r="AB4872" s="87"/>
      <c r="AC4872" s="116"/>
      <c r="AD4872" s="116"/>
      <c r="AE4872" s="116"/>
      <c r="AF4872" s="116"/>
      <c r="AG4872" s="116"/>
      <c r="AH4872" s="116"/>
      <c r="AI4872" s="116"/>
    </row>
    <row r="4873" spans="27:35" ht="18">
      <c r="AA4873" s="116"/>
      <c r="AB4873" s="87"/>
      <c r="AC4873" s="116"/>
      <c r="AD4873" s="116"/>
      <c r="AE4873" s="116"/>
      <c r="AF4873" s="116"/>
      <c r="AG4873" s="116"/>
      <c r="AH4873" s="116"/>
      <c r="AI4873" s="116"/>
    </row>
    <row r="4874" spans="27:35" ht="18">
      <c r="AA4874" s="116"/>
      <c r="AB4874" s="87"/>
      <c r="AC4874" s="116"/>
      <c r="AD4874" s="116"/>
      <c r="AE4874" s="116"/>
      <c r="AF4874" s="116"/>
      <c r="AG4874" s="116"/>
      <c r="AH4874" s="116"/>
      <c r="AI4874" s="116"/>
    </row>
    <row r="4875" spans="27:35" ht="18">
      <c r="AA4875" s="116"/>
      <c r="AB4875" s="87"/>
      <c r="AC4875" s="116"/>
      <c r="AD4875" s="116"/>
      <c r="AE4875" s="116"/>
      <c r="AF4875" s="116"/>
      <c r="AG4875" s="116"/>
      <c r="AH4875" s="116"/>
      <c r="AI4875" s="116"/>
    </row>
    <row r="4876" spans="27:35" ht="18">
      <c r="AA4876" s="116"/>
      <c r="AB4876" s="87"/>
      <c r="AC4876" s="116"/>
      <c r="AD4876" s="116"/>
      <c r="AE4876" s="116"/>
      <c r="AF4876" s="116"/>
      <c r="AG4876" s="116"/>
      <c r="AH4876" s="116"/>
      <c r="AI4876" s="116"/>
    </row>
    <row r="4877" spans="27:35" ht="18">
      <c r="AA4877" s="116"/>
      <c r="AB4877" s="87"/>
      <c r="AC4877" s="116"/>
      <c r="AD4877" s="116"/>
      <c r="AE4877" s="116"/>
      <c r="AF4877" s="116"/>
      <c r="AG4877" s="116"/>
      <c r="AH4877" s="116"/>
      <c r="AI4877" s="116"/>
    </row>
    <row r="4878" spans="27:35" ht="18">
      <c r="AA4878" s="116"/>
      <c r="AB4878" s="87"/>
      <c r="AC4878" s="116"/>
      <c r="AD4878" s="116"/>
      <c r="AE4878" s="116"/>
      <c r="AF4878" s="116"/>
      <c r="AG4878" s="116"/>
      <c r="AH4878" s="116"/>
      <c r="AI4878" s="116"/>
    </row>
    <row r="4879" spans="27:35" ht="18">
      <c r="AA4879" s="116"/>
      <c r="AB4879" s="184"/>
      <c r="AC4879" s="116"/>
      <c r="AD4879" s="116"/>
      <c r="AE4879" s="116"/>
      <c r="AF4879" s="116"/>
      <c r="AG4879" s="116"/>
      <c r="AH4879" s="116"/>
      <c r="AI4879" s="116"/>
    </row>
    <row r="4880" spans="27:35" ht="18">
      <c r="AA4880" s="116"/>
      <c r="AB4880" s="184"/>
      <c r="AC4880" s="116"/>
      <c r="AD4880" s="116"/>
      <c r="AE4880" s="116"/>
      <c r="AF4880" s="116"/>
      <c r="AG4880" s="116"/>
      <c r="AH4880" s="116"/>
      <c r="AI4880" s="116"/>
    </row>
    <row r="4881" spans="27:35" ht="18">
      <c r="AA4881" s="116"/>
      <c r="AB4881" s="87"/>
      <c r="AC4881" s="116"/>
      <c r="AD4881" s="116"/>
      <c r="AE4881" s="116"/>
      <c r="AF4881" s="116"/>
      <c r="AG4881" s="116"/>
      <c r="AH4881" s="116"/>
      <c r="AI4881" s="116"/>
    </row>
    <row r="4882" spans="27:35" ht="18">
      <c r="AA4882" s="116"/>
      <c r="AB4882" s="87"/>
      <c r="AC4882" s="116"/>
      <c r="AD4882" s="116"/>
      <c r="AE4882" s="116"/>
      <c r="AF4882" s="116"/>
      <c r="AG4882" s="116"/>
      <c r="AH4882" s="116"/>
      <c r="AI4882" s="116"/>
    </row>
    <row r="4883" spans="27:35" ht="18">
      <c r="AA4883" s="116"/>
      <c r="AB4883" s="87"/>
      <c r="AC4883" s="116"/>
      <c r="AD4883" s="116"/>
      <c r="AE4883" s="116"/>
      <c r="AF4883" s="116"/>
      <c r="AG4883" s="116"/>
      <c r="AH4883" s="116"/>
      <c r="AI4883" s="116"/>
    </row>
    <row r="4884" spans="27:35" ht="18">
      <c r="AA4884" s="116"/>
      <c r="AB4884" s="87"/>
      <c r="AC4884" s="116"/>
      <c r="AD4884" s="116"/>
      <c r="AE4884" s="116"/>
      <c r="AF4884" s="116"/>
      <c r="AG4884" s="116"/>
      <c r="AH4884" s="116"/>
      <c r="AI4884" s="116"/>
    </row>
    <row r="4885" spans="27:35" ht="18">
      <c r="AA4885" s="116"/>
      <c r="AB4885" s="87"/>
      <c r="AC4885" s="116"/>
      <c r="AD4885" s="116"/>
      <c r="AE4885" s="116"/>
      <c r="AF4885" s="116"/>
      <c r="AG4885" s="116"/>
      <c r="AH4885" s="116"/>
      <c r="AI4885" s="116"/>
    </row>
    <row r="4886" spans="27:35" ht="18">
      <c r="AA4886" s="116"/>
      <c r="AB4886" s="87"/>
      <c r="AC4886" s="116"/>
      <c r="AD4886" s="116"/>
      <c r="AE4886" s="116"/>
      <c r="AF4886" s="116"/>
      <c r="AG4886" s="116"/>
      <c r="AH4886" s="116"/>
      <c r="AI4886" s="116"/>
    </row>
    <row r="4887" spans="27:35" ht="18">
      <c r="AA4887" s="116"/>
      <c r="AB4887" s="87"/>
      <c r="AC4887" s="116"/>
      <c r="AD4887" s="116"/>
      <c r="AE4887" s="116"/>
      <c r="AF4887" s="116"/>
      <c r="AG4887" s="116"/>
      <c r="AH4887" s="116"/>
      <c r="AI4887" s="116"/>
    </row>
    <row r="4888" spans="27:35" ht="18">
      <c r="AA4888" s="116"/>
      <c r="AB4888" s="87"/>
      <c r="AC4888" s="116"/>
      <c r="AD4888" s="116"/>
      <c r="AE4888" s="116"/>
      <c r="AF4888" s="116"/>
      <c r="AG4888" s="116"/>
      <c r="AH4888" s="116"/>
      <c r="AI4888" s="116"/>
    </row>
    <row r="4889" spans="27:35" ht="18">
      <c r="AA4889" s="116"/>
      <c r="AB4889" s="87"/>
      <c r="AC4889" s="116"/>
      <c r="AD4889" s="116"/>
      <c r="AE4889" s="116"/>
      <c r="AF4889" s="116"/>
      <c r="AG4889" s="116"/>
      <c r="AH4889" s="116"/>
      <c r="AI4889" s="116"/>
    </row>
    <row r="4890" spans="27:35" ht="18">
      <c r="AA4890" s="116"/>
      <c r="AB4890" s="87"/>
      <c r="AC4890" s="116"/>
      <c r="AD4890" s="116"/>
      <c r="AE4890" s="116"/>
      <c r="AF4890" s="116"/>
      <c r="AG4890" s="116"/>
      <c r="AH4890" s="116"/>
      <c r="AI4890" s="116"/>
    </row>
    <row r="4891" spans="27:35" ht="18">
      <c r="AA4891" s="116"/>
      <c r="AB4891" s="87"/>
      <c r="AC4891" s="116"/>
      <c r="AD4891" s="116"/>
      <c r="AE4891" s="116"/>
      <c r="AF4891" s="116"/>
      <c r="AG4891" s="116"/>
      <c r="AH4891" s="116"/>
      <c r="AI4891" s="116"/>
    </row>
    <row r="4892" spans="27:35" ht="18">
      <c r="AA4892" s="116"/>
      <c r="AB4892" s="87"/>
      <c r="AC4892" s="116"/>
      <c r="AD4892" s="116"/>
      <c r="AE4892" s="116"/>
      <c r="AF4892" s="116"/>
      <c r="AG4892" s="116"/>
      <c r="AH4892" s="116"/>
      <c r="AI4892" s="116"/>
    </row>
    <row r="4893" spans="27:35" ht="18">
      <c r="AA4893" s="116"/>
      <c r="AB4893" s="87"/>
      <c r="AC4893" s="116"/>
      <c r="AD4893" s="116"/>
      <c r="AE4893" s="116"/>
      <c r="AF4893" s="116"/>
      <c r="AG4893" s="116"/>
      <c r="AH4893" s="116"/>
      <c r="AI4893" s="116"/>
    </row>
    <row r="4894" spans="27:35" ht="18">
      <c r="AA4894" s="116"/>
      <c r="AB4894" s="87"/>
      <c r="AC4894" s="116"/>
      <c r="AD4894" s="116"/>
      <c r="AE4894" s="116"/>
      <c r="AF4894" s="116"/>
      <c r="AG4894" s="116"/>
      <c r="AH4894" s="116"/>
      <c r="AI4894" s="116"/>
    </row>
    <row r="4895" spans="27:35" ht="18">
      <c r="AA4895" s="116"/>
      <c r="AB4895" s="87"/>
      <c r="AC4895" s="116"/>
      <c r="AD4895" s="116"/>
      <c r="AE4895" s="116"/>
      <c r="AF4895" s="116"/>
      <c r="AG4895" s="116"/>
      <c r="AH4895" s="116"/>
      <c r="AI4895" s="116"/>
    </row>
    <row r="4896" spans="27:35" ht="18">
      <c r="AA4896" s="116"/>
      <c r="AB4896" s="87"/>
      <c r="AC4896" s="116"/>
      <c r="AD4896" s="116"/>
      <c r="AE4896" s="116"/>
      <c r="AF4896" s="116"/>
      <c r="AG4896" s="116"/>
      <c r="AH4896" s="116"/>
      <c r="AI4896" s="116"/>
    </row>
    <row r="4897" spans="27:35" ht="18">
      <c r="AA4897" s="116"/>
      <c r="AB4897" s="87"/>
      <c r="AC4897" s="116"/>
      <c r="AD4897" s="116"/>
      <c r="AE4897" s="116"/>
      <c r="AF4897" s="116"/>
      <c r="AG4897" s="116"/>
      <c r="AH4897" s="116"/>
      <c r="AI4897" s="116"/>
    </row>
    <row r="4898" spans="27:35" ht="18">
      <c r="AA4898" s="116"/>
      <c r="AB4898" s="87"/>
      <c r="AC4898" s="116"/>
      <c r="AD4898" s="116"/>
      <c r="AE4898" s="116"/>
      <c r="AF4898" s="116"/>
      <c r="AG4898" s="116"/>
      <c r="AH4898" s="116"/>
      <c r="AI4898" s="116"/>
    </row>
    <row r="4899" spans="27:35" ht="18">
      <c r="AA4899" s="116"/>
      <c r="AB4899" s="87"/>
      <c r="AC4899" s="116"/>
      <c r="AD4899" s="116"/>
      <c r="AE4899" s="116"/>
      <c r="AF4899" s="116"/>
      <c r="AG4899" s="116"/>
      <c r="AH4899" s="116"/>
      <c r="AI4899" s="116"/>
    </row>
    <row r="4900" spans="27:35" ht="18">
      <c r="AA4900" s="116"/>
      <c r="AB4900" s="87"/>
      <c r="AC4900" s="116"/>
      <c r="AD4900" s="116"/>
      <c r="AE4900" s="116"/>
      <c r="AF4900" s="116"/>
      <c r="AG4900" s="116"/>
      <c r="AH4900" s="116"/>
      <c r="AI4900" s="116"/>
    </row>
    <row r="4901" spans="27:35" ht="18">
      <c r="AA4901" s="116"/>
      <c r="AB4901" s="87"/>
      <c r="AC4901" s="116"/>
      <c r="AD4901" s="116"/>
      <c r="AE4901" s="116"/>
      <c r="AF4901" s="116"/>
      <c r="AG4901" s="116"/>
      <c r="AH4901" s="116"/>
      <c r="AI4901" s="116"/>
    </row>
    <row r="4902" spans="27:35" ht="18">
      <c r="AA4902" s="116"/>
      <c r="AB4902" s="87"/>
      <c r="AC4902" s="116"/>
      <c r="AD4902" s="116"/>
      <c r="AE4902" s="116"/>
      <c r="AF4902" s="116"/>
      <c r="AG4902" s="116"/>
      <c r="AH4902" s="116"/>
      <c r="AI4902" s="116"/>
    </row>
    <row r="4903" spans="27:35" ht="18">
      <c r="AA4903" s="116"/>
      <c r="AB4903" s="87"/>
      <c r="AC4903" s="116"/>
      <c r="AD4903" s="116"/>
      <c r="AE4903" s="116"/>
      <c r="AF4903" s="116"/>
      <c r="AG4903" s="116"/>
      <c r="AH4903" s="116"/>
      <c r="AI4903" s="116"/>
    </row>
    <row r="4904" spans="27:35" ht="18">
      <c r="AA4904" s="116"/>
      <c r="AB4904" s="87"/>
      <c r="AC4904" s="116"/>
      <c r="AD4904" s="116"/>
      <c r="AE4904" s="116"/>
      <c r="AF4904" s="116"/>
      <c r="AG4904" s="116"/>
      <c r="AH4904" s="116"/>
      <c r="AI4904" s="116"/>
    </row>
    <row r="4905" spans="27:35" ht="18">
      <c r="AA4905" s="116"/>
      <c r="AB4905" s="87"/>
      <c r="AC4905" s="116"/>
      <c r="AD4905" s="116"/>
      <c r="AE4905" s="116"/>
      <c r="AF4905" s="116"/>
      <c r="AG4905" s="116"/>
      <c r="AH4905" s="116"/>
      <c r="AI4905" s="116"/>
    </row>
    <row r="4906" spans="27:35" ht="18">
      <c r="AA4906" s="116"/>
      <c r="AB4906" s="87"/>
      <c r="AC4906" s="116"/>
      <c r="AD4906" s="116"/>
      <c r="AE4906" s="116"/>
      <c r="AF4906" s="116"/>
      <c r="AG4906" s="116"/>
      <c r="AH4906" s="116"/>
      <c r="AI4906" s="116"/>
    </row>
    <row r="4907" spans="27:35" ht="18">
      <c r="AA4907" s="116"/>
      <c r="AB4907" s="87"/>
      <c r="AC4907" s="116"/>
      <c r="AD4907" s="116"/>
      <c r="AE4907" s="116"/>
      <c r="AF4907" s="116"/>
      <c r="AG4907" s="116"/>
      <c r="AH4907" s="116"/>
      <c r="AI4907" s="116"/>
    </row>
    <row r="4908" spans="27:35" ht="18">
      <c r="AA4908" s="116"/>
      <c r="AB4908" s="87"/>
      <c r="AC4908" s="116"/>
      <c r="AD4908" s="116"/>
      <c r="AE4908" s="116"/>
      <c r="AF4908" s="116"/>
      <c r="AG4908" s="116"/>
      <c r="AH4908" s="116"/>
      <c r="AI4908" s="116"/>
    </row>
    <row r="4909" spans="27:35" ht="18">
      <c r="AA4909" s="116"/>
      <c r="AB4909" s="87"/>
      <c r="AC4909" s="116"/>
      <c r="AD4909" s="116"/>
      <c r="AE4909" s="116"/>
      <c r="AF4909" s="116"/>
      <c r="AG4909" s="116"/>
      <c r="AH4909" s="116"/>
      <c r="AI4909" s="116"/>
    </row>
    <row r="4910" spans="27:35" ht="18">
      <c r="AA4910" s="116"/>
      <c r="AB4910" s="87"/>
      <c r="AC4910" s="116"/>
      <c r="AD4910" s="116"/>
      <c r="AE4910" s="116"/>
      <c r="AF4910" s="116"/>
      <c r="AG4910" s="116"/>
      <c r="AH4910" s="116"/>
      <c r="AI4910" s="116"/>
    </row>
    <row r="4911" spans="27:35" ht="18">
      <c r="AA4911" s="116"/>
      <c r="AB4911" s="87"/>
      <c r="AC4911" s="116"/>
      <c r="AD4911" s="116"/>
      <c r="AE4911" s="116"/>
      <c r="AF4911" s="116"/>
      <c r="AG4911" s="116"/>
      <c r="AH4911" s="116"/>
      <c r="AI4911" s="116"/>
    </row>
    <row r="4912" spans="27:35" ht="18">
      <c r="AA4912" s="116"/>
      <c r="AB4912" s="87"/>
      <c r="AC4912" s="116"/>
      <c r="AD4912" s="116"/>
      <c r="AE4912" s="116"/>
      <c r="AF4912" s="116"/>
      <c r="AG4912" s="116"/>
      <c r="AH4912" s="116"/>
      <c r="AI4912" s="116"/>
    </row>
    <row r="4913" spans="27:35" ht="18">
      <c r="AA4913" s="116"/>
      <c r="AB4913" s="87"/>
      <c r="AC4913" s="116"/>
      <c r="AD4913" s="116"/>
      <c r="AE4913" s="116"/>
      <c r="AF4913" s="116"/>
      <c r="AG4913" s="116"/>
      <c r="AH4913" s="116"/>
      <c r="AI4913" s="116"/>
    </row>
    <row r="4914" spans="27:35" ht="18">
      <c r="AA4914" s="116"/>
      <c r="AB4914" s="87"/>
      <c r="AC4914" s="116"/>
      <c r="AD4914" s="116"/>
      <c r="AE4914" s="116"/>
      <c r="AF4914" s="116"/>
      <c r="AG4914" s="116"/>
      <c r="AH4914" s="116"/>
      <c r="AI4914" s="116"/>
    </row>
    <row r="4915" spans="27:35" ht="18">
      <c r="AA4915" s="116"/>
      <c r="AB4915" s="87"/>
      <c r="AC4915" s="116"/>
      <c r="AD4915" s="116"/>
      <c r="AE4915" s="116"/>
      <c r="AF4915" s="116"/>
      <c r="AG4915" s="116"/>
      <c r="AH4915" s="116"/>
      <c r="AI4915" s="116"/>
    </row>
    <row r="4916" spans="27:35" ht="18">
      <c r="AA4916" s="116"/>
      <c r="AB4916" s="87"/>
      <c r="AC4916" s="116"/>
      <c r="AD4916" s="116"/>
      <c r="AE4916" s="116"/>
      <c r="AF4916" s="116"/>
      <c r="AG4916" s="116"/>
      <c r="AH4916" s="116"/>
      <c r="AI4916" s="116"/>
    </row>
    <row r="4917" spans="27:35" ht="18">
      <c r="AA4917" s="116"/>
      <c r="AB4917" s="87"/>
      <c r="AC4917" s="116"/>
      <c r="AD4917" s="116"/>
      <c r="AE4917" s="116"/>
      <c r="AF4917" s="116"/>
      <c r="AG4917" s="116"/>
      <c r="AH4917" s="116"/>
      <c r="AI4917" s="116"/>
    </row>
    <row r="4918" spans="27:35" ht="18">
      <c r="AA4918" s="116"/>
      <c r="AB4918" s="87"/>
      <c r="AC4918" s="116"/>
      <c r="AD4918" s="116"/>
      <c r="AE4918" s="116"/>
      <c r="AF4918" s="116"/>
      <c r="AG4918" s="116"/>
      <c r="AH4918" s="116"/>
      <c r="AI4918" s="116"/>
    </row>
    <row r="4919" spans="27:35" ht="18">
      <c r="AA4919" s="116"/>
      <c r="AB4919" s="87"/>
      <c r="AC4919" s="116"/>
      <c r="AD4919" s="116"/>
      <c r="AE4919" s="116"/>
      <c r="AF4919" s="116"/>
      <c r="AG4919" s="116"/>
      <c r="AH4919" s="116"/>
      <c r="AI4919" s="116"/>
    </row>
    <row r="4920" spans="27:35" ht="18">
      <c r="AA4920" s="116"/>
      <c r="AB4920" s="87"/>
      <c r="AC4920" s="116"/>
      <c r="AD4920" s="116"/>
      <c r="AE4920" s="116"/>
      <c r="AF4920" s="116"/>
      <c r="AG4920" s="116"/>
      <c r="AH4920" s="116"/>
      <c r="AI4920" s="116"/>
    </row>
    <row r="4921" spans="27:35" ht="18">
      <c r="AA4921" s="116"/>
      <c r="AB4921" s="87"/>
      <c r="AC4921" s="116"/>
      <c r="AD4921" s="116"/>
      <c r="AE4921" s="116"/>
      <c r="AF4921" s="116"/>
      <c r="AG4921" s="116"/>
      <c r="AH4921" s="116"/>
      <c r="AI4921" s="116"/>
    </row>
    <row r="4922" spans="27:35" ht="18">
      <c r="AA4922" s="116"/>
      <c r="AB4922" s="87"/>
      <c r="AC4922" s="116"/>
      <c r="AD4922" s="116"/>
      <c r="AE4922" s="116"/>
      <c r="AF4922" s="116"/>
      <c r="AG4922" s="116"/>
      <c r="AH4922" s="116"/>
      <c r="AI4922" s="116"/>
    </row>
    <row r="4923" spans="27:35" ht="18">
      <c r="AA4923" s="116"/>
      <c r="AB4923" s="87"/>
      <c r="AC4923" s="116"/>
      <c r="AD4923" s="116"/>
      <c r="AE4923" s="116"/>
      <c r="AF4923" s="116"/>
      <c r="AG4923" s="116"/>
      <c r="AH4923" s="116"/>
      <c r="AI4923" s="116"/>
    </row>
    <row r="4924" spans="27:35" ht="18">
      <c r="AA4924" s="116"/>
      <c r="AB4924" s="87"/>
      <c r="AC4924" s="116"/>
      <c r="AD4924" s="116"/>
      <c r="AE4924" s="116"/>
      <c r="AF4924" s="116"/>
      <c r="AG4924" s="116"/>
      <c r="AH4924" s="116"/>
      <c r="AI4924" s="116"/>
    </row>
    <row r="4925" spans="27:35" ht="18">
      <c r="AA4925" s="116"/>
      <c r="AB4925" s="184"/>
      <c r="AC4925" s="116"/>
      <c r="AD4925" s="116"/>
      <c r="AE4925" s="116"/>
      <c r="AF4925" s="116"/>
      <c r="AG4925" s="116"/>
      <c r="AH4925" s="116"/>
      <c r="AI4925" s="116"/>
    </row>
    <row r="4926" spans="27:35" ht="18">
      <c r="AA4926" s="116"/>
      <c r="AB4926" s="87"/>
      <c r="AC4926" s="116"/>
      <c r="AD4926" s="116"/>
      <c r="AE4926" s="116"/>
      <c r="AF4926" s="116"/>
      <c r="AG4926" s="116"/>
      <c r="AH4926" s="116"/>
      <c r="AI4926" s="116"/>
    </row>
    <row r="4927" spans="27:35" ht="18">
      <c r="AA4927" s="116"/>
      <c r="AB4927" s="87"/>
      <c r="AC4927" s="116"/>
      <c r="AD4927" s="116"/>
      <c r="AE4927" s="116"/>
      <c r="AF4927" s="116"/>
      <c r="AG4927" s="116"/>
      <c r="AH4927" s="116"/>
      <c r="AI4927" s="116"/>
    </row>
    <row r="4928" spans="27:35" ht="18">
      <c r="AA4928" s="116"/>
      <c r="AB4928" s="87"/>
      <c r="AC4928" s="116"/>
      <c r="AD4928" s="116"/>
      <c r="AE4928" s="116"/>
      <c r="AF4928" s="116"/>
      <c r="AG4928" s="116"/>
      <c r="AH4928" s="116"/>
      <c r="AI4928" s="116"/>
    </row>
    <row r="4929" spans="27:35" ht="18">
      <c r="AA4929" s="116"/>
      <c r="AB4929" s="87"/>
      <c r="AC4929" s="116"/>
      <c r="AD4929" s="116"/>
      <c r="AE4929" s="116"/>
      <c r="AF4929" s="116"/>
      <c r="AG4929" s="116"/>
      <c r="AH4929" s="116"/>
      <c r="AI4929" s="116"/>
    </row>
    <row r="4930" spans="27:35" ht="18">
      <c r="AA4930" s="116"/>
      <c r="AB4930" s="87"/>
      <c r="AC4930" s="116"/>
      <c r="AD4930" s="116"/>
      <c r="AE4930" s="116"/>
      <c r="AF4930" s="116"/>
      <c r="AG4930" s="116"/>
      <c r="AH4930" s="116"/>
      <c r="AI4930" s="116"/>
    </row>
    <row r="4931" spans="27:35" ht="18">
      <c r="AA4931" s="116"/>
      <c r="AB4931" s="87"/>
      <c r="AC4931" s="116"/>
      <c r="AD4931" s="116"/>
      <c r="AE4931" s="116"/>
      <c r="AF4931" s="116"/>
      <c r="AG4931" s="116"/>
      <c r="AH4931" s="116"/>
      <c r="AI4931" s="116"/>
    </row>
    <row r="4932" spans="27:35" ht="18">
      <c r="AA4932" s="116"/>
      <c r="AB4932" s="87"/>
      <c r="AC4932" s="116"/>
      <c r="AD4932" s="116"/>
      <c r="AE4932" s="116"/>
      <c r="AF4932" s="116"/>
      <c r="AG4932" s="116"/>
      <c r="AH4932" s="116"/>
      <c r="AI4932" s="116"/>
    </row>
    <row r="4933" spans="27:35" ht="18">
      <c r="AA4933" s="116"/>
      <c r="AB4933" s="87"/>
      <c r="AC4933" s="116"/>
      <c r="AD4933" s="116"/>
      <c r="AE4933" s="116"/>
      <c r="AF4933" s="116"/>
      <c r="AG4933" s="116"/>
      <c r="AH4933" s="116"/>
      <c r="AI4933" s="116"/>
    </row>
    <row r="4934" spans="27:35" ht="18">
      <c r="AA4934" s="116"/>
      <c r="AB4934" s="87"/>
      <c r="AC4934" s="116"/>
      <c r="AD4934" s="116"/>
      <c r="AE4934" s="116"/>
      <c r="AF4934" s="116"/>
      <c r="AG4934" s="116"/>
      <c r="AH4934" s="116"/>
      <c r="AI4934" s="116"/>
    </row>
    <row r="4935" spans="27:35" ht="18">
      <c r="AA4935" s="116"/>
      <c r="AB4935" s="87"/>
      <c r="AC4935" s="116"/>
      <c r="AD4935" s="116"/>
      <c r="AE4935" s="116"/>
      <c r="AF4935" s="116"/>
      <c r="AG4935" s="116"/>
      <c r="AH4935" s="116"/>
      <c r="AI4935" s="116"/>
    </row>
    <row r="4936" spans="27:35" ht="18">
      <c r="AA4936" s="116"/>
      <c r="AB4936" s="87"/>
      <c r="AC4936" s="116"/>
      <c r="AD4936" s="116"/>
      <c r="AE4936" s="116"/>
      <c r="AF4936" s="116"/>
      <c r="AG4936" s="116"/>
      <c r="AH4936" s="116"/>
      <c r="AI4936" s="116"/>
    </row>
    <row r="4937" spans="27:35" ht="18">
      <c r="AA4937" s="116"/>
      <c r="AB4937" s="87"/>
      <c r="AC4937" s="116"/>
      <c r="AD4937" s="116"/>
      <c r="AE4937" s="116"/>
      <c r="AF4937" s="116"/>
      <c r="AG4937" s="116"/>
      <c r="AH4937" s="116"/>
      <c r="AI4937" s="116"/>
    </row>
    <row r="4938" spans="27:35" ht="18">
      <c r="AA4938" s="116"/>
      <c r="AB4938" s="87"/>
      <c r="AC4938" s="116"/>
      <c r="AD4938" s="116"/>
      <c r="AE4938" s="116"/>
      <c r="AF4938" s="116"/>
      <c r="AG4938" s="116"/>
      <c r="AH4938" s="116"/>
      <c r="AI4938" s="116"/>
    </row>
    <row r="4939" spans="27:35" ht="18">
      <c r="AA4939" s="116"/>
      <c r="AB4939" s="87"/>
      <c r="AC4939" s="116"/>
      <c r="AD4939" s="116"/>
      <c r="AE4939" s="116"/>
      <c r="AF4939" s="116"/>
      <c r="AG4939" s="116"/>
      <c r="AH4939" s="116"/>
      <c r="AI4939" s="116"/>
    </row>
    <row r="4940" spans="27:35" ht="18">
      <c r="AA4940" s="116"/>
      <c r="AB4940" s="87"/>
      <c r="AC4940" s="116"/>
      <c r="AD4940" s="116"/>
      <c r="AE4940" s="116"/>
      <c r="AF4940" s="116"/>
      <c r="AG4940" s="116"/>
      <c r="AH4940" s="116"/>
      <c r="AI4940" s="116"/>
    </row>
    <row r="4941" spans="27:35" ht="18">
      <c r="AA4941" s="116"/>
      <c r="AB4941" s="87"/>
      <c r="AC4941" s="116"/>
      <c r="AD4941" s="116"/>
      <c r="AE4941" s="116"/>
      <c r="AF4941" s="116"/>
      <c r="AG4941" s="116"/>
      <c r="AH4941" s="116"/>
      <c r="AI4941" s="116"/>
    </row>
    <row r="4942" spans="27:35" ht="18">
      <c r="AA4942" s="116"/>
      <c r="AB4942" s="87"/>
      <c r="AC4942" s="116"/>
      <c r="AD4942" s="116"/>
      <c r="AE4942" s="116"/>
      <c r="AF4942" s="116"/>
      <c r="AG4942" s="116"/>
      <c r="AH4942" s="116"/>
      <c r="AI4942" s="116"/>
    </row>
    <row r="4943" spans="27:35" ht="18">
      <c r="AA4943" s="116"/>
      <c r="AB4943" s="87"/>
      <c r="AC4943" s="116"/>
      <c r="AD4943" s="116"/>
      <c r="AE4943" s="116"/>
      <c r="AF4943" s="116"/>
      <c r="AG4943" s="116"/>
      <c r="AH4943" s="116"/>
      <c r="AI4943" s="116"/>
    </row>
    <row r="4944" spans="27:35" ht="18">
      <c r="AA4944" s="116"/>
      <c r="AB4944" s="87"/>
      <c r="AC4944" s="116"/>
      <c r="AD4944" s="116"/>
      <c r="AE4944" s="116"/>
      <c r="AF4944" s="116"/>
      <c r="AG4944" s="116"/>
      <c r="AH4944" s="116"/>
      <c r="AI4944" s="116"/>
    </row>
    <row r="4945" spans="27:35" ht="18">
      <c r="AA4945" s="116"/>
      <c r="AB4945" s="87"/>
      <c r="AC4945" s="116"/>
      <c r="AD4945" s="116"/>
      <c r="AE4945" s="116"/>
      <c r="AF4945" s="116"/>
      <c r="AG4945" s="116"/>
      <c r="AH4945" s="116"/>
      <c r="AI4945" s="116"/>
    </row>
    <row r="4946" spans="27:35" ht="18">
      <c r="AA4946" s="116"/>
      <c r="AB4946" s="87"/>
      <c r="AC4946" s="116"/>
      <c r="AD4946" s="116"/>
      <c r="AE4946" s="116"/>
      <c r="AF4946" s="116"/>
      <c r="AG4946" s="116"/>
      <c r="AH4946" s="116"/>
      <c r="AI4946" s="116"/>
    </row>
    <row r="4947" spans="27:35" ht="18">
      <c r="AA4947" s="116"/>
      <c r="AB4947" s="87"/>
      <c r="AC4947" s="116"/>
      <c r="AD4947" s="116"/>
      <c r="AE4947" s="116"/>
      <c r="AF4947" s="116"/>
      <c r="AG4947" s="116"/>
      <c r="AH4947" s="116"/>
      <c r="AI4947" s="116"/>
    </row>
    <row r="4948" spans="27:35" ht="18">
      <c r="AA4948" s="116"/>
      <c r="AB4948" s="87"/>
      <c r="AC4948" s="116"/>
      <c r="AD4948" s="116"/>
      <c r="AE4948" s="116"/>
      <c r="AF4948" s="116"/>
      <c r="AG4948" s="116"/>
      <c r="AH4948" s="116"/>
      <c r="AI4948" s="116"/>
    </row>
    <row r="4949" spans="27:35" ht="18">
      <c r="AA4949" s="116"/>
      <c r="AB4949" s="87"/>
      <c r="AC4949" s="116"/>
      <c r="AD4949" s="116"/>
      <c r="AE4949" s="116"/>
      <c r="AF4949" s="116"/>
      <c r="AG4949" s="116"/>
      <c r="AH4949" s="116"/>
      <c r="AI4949" s="116"/>
    </row>
    <row r="4950" spans="27:35" ht="18">
      <c r="AA4950" s="116"/>
      <c r="AB4950" s="87"/>
      <c r="AC4950" s="116"/>
      <c r="AD4950" s="116"/>
      <c r="AE4950" s="116"/>
      <c r="AF4950" s="116"/>
      <c r="AG4950" s="116"/>
      <c r="AH4950" s="116"/>
      <c r="AI4950" s="116"/>
    </row>
    <row r="4951" spans="27:35" ht="18">
      <c r="AA4951" s="116"/>
      <c r="AB4951" s="87"/>
      <c r="AC4951" s="116"/>
      <c r="AD4951" s="116"/>
      <c r="AE4951" s="116"/>
      <c r="AF4951" s="116"/>
      <c r="AG4951" s="116"/>
      <c r="AH4951" s="116"/>
      <c r="AI4951" s="116"/>
    </row>
    <row r="4952" spans="27:35" ht="18">
      <c r="AA4952" s="116"/>
      <c r="AB4952" s="87"/>
      <c r="AC4952" s="116"/>
      <c r="AD4952" s="116"/>
      <c r="AE4952" s="116"/>
      <c r="AF4952" s="116"/>
      <c r="AG4952" s="116"/>
      <c r="AH4952" s="116"/>
      <c r="AI4952" s="116"/>
    </row>
    <row r="4953" spans="27:35" ht="18">
      <c r="AA4953" s="116"/>
      <c r="AB4953" s="87"/>
      <c r="AC4953" s="116"/>
      <c r="AD4953" s="116"/>
      <c r="AE4953" s="116"/>
      <c r="AF4953" s="116"/>
      <c r="AG4953" s="116"/>
      <c r="AH4953" s="116"/>
      <c r="AI4953" s="116"/>
    </row>
    <row r="4954" spans="27:35" ht="18">
      <c r="AA4954" s="116"/>
      <c r="AB4954" s="87"/>
      <c r="AC4954" s="116"/>
      <c r="AD4954" s="116"/>
      <c r="AE4954" s="116"/>
      <c r="AF4954" s="116"/>
      <c r="AG4954" s="116"/>
      <c r="AH4954" s="116"/>
      <c r="AI4954" s="116"/>
    </row>
    <row r="4955" spans="27:35" ht="18">
      <c r="AA4955" s="116"/>
      <c r="AB4955" s="87"/>
      <c r="AC4955" s="116"/>
      <c r="AD4955" s="116"/>
      <c r="AE4955" s="116"/>
      <c r="AF4955" s="116"/>
      <c r="AG4955" s="116"/>
      <c r="AH4955" s="116"/>
      <c r="AI4955" s="116"/>
    </row>
    <row r="4956" spans="27:35" ht="18">
      <c r="AA4956" s="116"/>
      <c r="AB4956" s="87"/>
      <c r="AC4956" s="116"/>
      <c r="AD4956" s="116"/>
      <c r="AE4956" s="116"/>
      <c r="AF4956" s="116"/>
      <c r="AG4956" s="116"/>
      <c r="AH4956" s="116"/>
      <c r="AI4956" s="116"/>
    </row>
    <row r="4957" spans="27:35" ht="18">
      <c r="AA4957" s="116"/>
      <c r="AB4957" s="87"/>
      <c r="AC4957" s="116"/>
      <c r="AD4957" s="116"/>
      <c r="AE4957" s="116"/>
      <c r="AF4957" s="116"/>
      <c r="AG4957" s="116"/>
      <c r="AH4957" s="116"/>
      <c r="AI4957" s="116"/>
    </row>
    <row r="4958" spans="27:35" ht="18">
      <c r="AA4958" s="116"/>
      <c r="AB4958" s="87"/>
      <c r="AC4958" s="116"/>
      <c r="AD4958" s="116"/>
      <c r="AE4958" s="116"/>
      <c r="AF4958" s="116"/>
      <c r="AG4958" s="116"/>
      <c r="AH4958" s="116"/>
      <c r="AI4958" s="116"/>
    </row>
    <row r="4959" spans="27:35" ht="18">
      <c r="AA4959" s="116"/>
      <c r="AB4959" s="87"/>
      <c r="AC4959" s="116"/>
      <c r="AD4959" s="116"/>
      <c r="AE4959" s="116"/>
      <c r="AF4959" s="116"/>
      <c r="AG4959" s="116"/>
      <c r="AH4959" s="116"/>
      <c r="AI4959" s="116"/>
    </row>
    <row r="4960" spans="27:35" ht="18">
      <c r="AA4960" s="116"/>
      <c r="AB4960" s="87"/>
      <c r="AC4960" s="116"/>
      <c r="AD4960" s="116"/>
      <c r="AE4960" s="116"/>
      <c r="AF4960" s="116"/>
      <c r="AG4960" s="116"/>
      <c r="AH4960" s="116"/>
      <c r="AI4960" s="116"/>
    </row>
    <row r="4961" spans="27:35" ht="18">
      <c r="AA4961" s="116"/>
      <c r="AB4961" s="87"/>
      <c r="AC4961" s="116"/>
      <c r="AD4961" s="116"/>
      <c r="AE4961" s="116"/>
      <c r="AF4961" s="116"/>
      <c r="AG4961" s="116"/>
      <c r="AH4961" s="116"/>
      <c r="AI4961" s="116"/>
    </row>
    <row r="4962" spans="27:35" ht="18">
      <c r="AA4962" s="116"/>
      <c r="AB4962" s="87"/>
      <c r="AC4962" s="116"/>
      <c r="AD4962" s="116"/>
      <c r="AE4962" s="116"/>
      <c r="AF4962" s="116"/>
      <c r="AG4962" s="116"/>
      <c r="AH4962" s="116"/>
      <c r="AI4962" s="116"/>
    </row>
    <row r="4963" spans="27:35" ht="18">
      <c r="AA4963" s="116"/>
      <c r="AB4963" s="87"/>
      <c r="AC4963" s="116"/>
      <c r="AD4963" s="116"/>
      <c r="AE4963" s="116"/>
      <c r="AF4963" s="116"/>
      <c r="AG4963" s="116"/>
      <c r="AH4963" s="116"/>
      <c r="AI4963" s="116"/>
    </row>
    <row r="4964" spans="27:35" ht="18">
      <c r="AA4964" s="116"/>
      <c r="AB4964" s="87"/>
      <c r="AC4964" s="116"/>
      <c r="AD4964" s="116"/>
      <c r="AE4964" s="116"/>
      <c r="AF4964" s="116"/>
      <c r="AG4964" s="116"/>
      <c r="AH4964" s="116"/>
      <c r="AI4964" s="116"/>
    </row>
    <row r="4965" spans="27:35" ht="18">
      <c r="AA4965" s="116"/>
      <c r="AB4965" s="87"/>
      <c r="AC4965" s="116"/>
      <c r="AD4965" s="116"/>
      <c r="AE4965" s="116"/>
      <c r="AF4965" s="116"/>
      <c r="AG4965" s="116"/>
      <c r="AH4965" s="116"/>
      <c r="AI4965" s="116"/>
    </row>
    <row r="4966" spans="27:35" ht="18">
      <c r="AA4966" s="116"/>
      <c r="AB4966" s="87"/>
      <c r="AC4966" s="116"/>
      <c r="AD4966" s="116"/>
      <c r="AE4966" s="116"/>
      <c r="AF4966" s="116"/>
      <c r="AG4966" s="116"/>
      <c r="AH4966" s="116"/>
      <c r="AI4966" s="116"/>
    </row>
    <row r="4967" spans="27:35" ht="18">
      <c r="AA4967" s="116"/>
      <c r="AB4967" s="87"/>
      <c r="AC4967" s="116"/>
      <c r="AD4967" s="116"/>
      <c r="AE4967" s="116"/>
      <c r="AF4967" s="116"/>
      <c r="AG4967" s="116"/>
      <c r="AH4967" s="116"/>
      <c r="AI4967" s="116"/>
    </row>
    <row r="4968" spans="27:35" ht="18">
      <c r="AA4968" s="116"/>
      <c r="AB4968" s="87"/>
      <c r="AC4968" s="116"/>
      <c r="AD4968" s="116"/>
      <c r="AE4968" s="116"/>
      <c r="AF4968" s="116"/>
      <c r="AG4968" s="116"/>
      <c r="AH4968" s="116"/>
      <c r="AI4968" s="116"/>
    </row>
    <row r="4969" spans="27:35" ht="18">
      <c r="AA4969" s="116"/>
      <c r="AB4969" s="87"/>
      <c r="AC4969" s="116"/>
      <c r="AD4969" s="116"/>
      <c r="AE4969" s="116"/>
      <c r="AF4969" s="116"/>
      <c r="AG4969" s="116"/>
      <c r="AH4969" s="116"/>
      <c r="AI4969" s="116"/>
    </row>
    <row r="4970" spans="27:35" ht="18">
      <c r="AA4970" s="116"/>
      <c r="AB4970" s="87"/>
      <c r="AC4970" s="116"/>
      <c r="AD4970" s="116"/>
      <c r="AE4970" s="116"/>
      <c r="AF4970" s="116"/>
      <c r="AG4970" s="116"/>
      <c r="AH4970" s="116"/>
      <c r="AI4970" s="116"/>
    </row>
    <row r="4971" spans="27:35" ht="18">
      <c r="AA4971" s="116"/>
      <c r="AB4971" s="87"/>
      <c r="AC4971" s="116"/>
      <c r="AD4971" s="116"/>
      <c r="AE4971" s="116"/>
      <c r="AF4971" s="116"/>
      <c r="AG4971" s="116"/>
      <c r="AH4971" s="116"/>
      <c r="AI4971" s="116"/>
    </row>
    <row r="4972" spans="27:35" ht="18">
      <c r="AA4972" s="116"/>
      <c r="AB4972" s="87"/>
      <c r="AC4972" s="116"/>
      <c r="AD4972" s="116"/>
      <c r="AE4972" s="116"/>
      <c r="AF4972" s="116"/>
      <c r="AG4972" s="116"/>
      <c r="AH4972" s="116"/>
      <c r="AI4972" s="116"/>
    </row>
    <row r="4973" spans="27:35" ht="18">
      <c r="AA4973" s="116"/>
      <c r="AB4973" s="87"/>
      <c r="AC4973" s="116"/>
      <c r="AD4973" s="116"/>
      <c r="AE4973" s="116"/>
      <c r="AF4973" s="116"/>
      <c r="AG4973" s="116"/>
      <c r="AH4973" s="116"/>
      <c r="AI4973" s="116"/>
    </row>
    <row r="4974" spans="27:35" ht="18">
      <c r="AA4974" s="116"/>
      <c r="AB4974" s="87"/>
      <c r="AC4974" s="116"/>
      <c r="AD4974" s="116"/>
      <c r="AE4974" s="116"/>
      <c r="AF4974" s="116"/>
      <c r="AG4974" s="116"/>
      <c r="AH4974" s="116"/>
      <c r="AI4974" s="116"/>
    </row>
    <row r="4975" spans="27:35" ht="18">
      <c r="AA4975" s="116"/>
      <c r="AB4975" s="184"/>
      <c r="AC4975" s="116"/>
      <c r="AD4975" s="116"/>
      <c r="AE4975" s="116"/>
      <c r="AF4975" s="116"/>
      <c r="AG4975" s="116"/>
      <c r="AH4975" s="116"/>
      <c r="AI4975" s="116"/>
    </row>
    <row r="4976" spans="27:35" ht="18">
      <c r="AA4976" s="116"/>
      <c r="AB4976" s="184"/>
      <c r="AC4976" s="116"/>
      <c r="AD4976" s="116"/>
      <c r="AE4976" s="116"/>
      <c r="AF4976" s="116"/>
      <c r="AG4976" s="116"/>
      <c r="AH4976" s="116"/>
      <c r="AI4976" s="116"/>
    </row>
    <row r="4977" spans="27:35" ht="18">
      <c r="AA4977" s="116"/>
      <c r="AB4977" s="87"/>
      <c r="AC4977" s="116"/>
      <c r="AD4977" s="116"/>
      <c r="AE4977" s="116"/>
      <c r="AF4977" s="116"/>
      <c r="AG4977" s="116"/>
      <c r="AH4977" s="116"/>
      <c r="AI4977" s="116"/>
    </row>
    <row r="4978" spans="27:35" ht="18">
      <c r="AA4978" s="116"/>
      <c r="AB4978" s="87"/>
      <c r="AC4978" s="116"/>
      <c r="AD4978" s="116"/>
      <c r="AE4978" s="116"/>
      <c r="AF4978" s="116"/>
      <c r="AG4978" s="116"/>
      <c r="AH4978" s="116"/>
      <c r="AI4978" s="116"/>
    </row>
    <row r="4979" spans="27:35" ht="18">
      <c r="AA4979" s="116"/>
      <c r="AB4979" s="87"/>
      <c r="AC4979" s="116"/>
      <c r="AD4979" s="116"/>
      <c r="AE4979" s="116"/>
      <c r="AF4979" s="116"/>
      <c r="AG4979" s="116"/>
      <c r="AH4979" s="116"/>
      <c r="AI4979" s="116"/>
    </row>
    <row r="4980" spans="27:35" ht="18">
      <c r="AA4980" s="116"/>
      <c r="AB4980" s="87"/>
      <c r="AC4980" s="116"/>
      <c r="AD4980" s="116"/>
      <c r="AE4980" s="116"/>
      <c r="AF4980" s="116"/>
      <c r="AG4980" s="116"/>
      <c r="AH4980" s="116"/>
      <c r="AI4980" s="116"/>
    </row>
    <row r="4981" spans="27:35" ht="18">
      <c r="AA4981" s="116"/>
      <c r="AB4981" s="87"/>
      <c r="AC4981" s="116"/>
      <c r="AD4981" s="116"/>
      <c r="AE4981" s="116"/>
      <c r="AF4981" s="116"/>
      <c r="AG4981" s="116"/>
      <c r="AH4981" s="116"/>
      <c r="AI4981" s="116"/>
    </row>
    <row r="4982" spans="27:35" ht="18">
      <c r="AA4982" s="116"/>
      <c r="AB4982" s="87"/>
      <c r="AC4982" s="116"/>
      <c r="AD4982" s="116"/>
      <c r="AE4982" s="116"/>
      <c r="AF4982" s="116"/>
      <c r="AG4982" s="116"/>
      <c r="AH4982" s="116"/>
      <c r="AI4982" s="116"/>
    </row>
    <row r="4983" spans="27:35" ht="18">
      <c r="AA4983" s="116"/>
      <c r="AB4983" s="87"/>
      <c r="AC4983" s="116"/>
      <c r="AD4983" s="116"/>
      <c r="AE4983" s="116"/>
      <c r="AF4983" s="116"/>
      <c r="AG4983" s="116"/>
      <c r="AH4983" s="116"/>
      <c r="AI4983" s="116"/>
    </row>
    <row r="4984" spans="27:35" ht="18">
      <c r="AA4984" s="116"/>
      <c r="AB4984" s="87"/>
      <c r="AC4984" s="116"/>
      <c r="AD4984" s="116"/>
      <c r="AE4984" s="116"/>
      <c r="AF4984" s="116"/>
      <c r="AG4984" s="116"/>
      <c r="AH4984" s="116"/>
      <c r="AI4984" s="116"/>
    </row>
    <row r="4985" spans="27:35" ht="18">
      <c r="AA4985" s="116"/>
      <c r="AB4985" s="87"/>
      <c r="AC4985" s="116"/>
      <c r="AD4985" s="116"/>
      <c r="AE4985" s="116"/>
      <c r="AF4985" s="116"/>
      <c r="AG4985" s="116"/>
      <c r="AH4985" s="116"/>
      <c r="AI4985" s="116"/>
    </row>
    <row r="4986" spans="27:35" ht="18">
      <c r="AA4986" s="116"/>
      <c r="AB4986" s="184"/>
      <c r="AC4986" s="116"/>
      <c r="AD4986" s="116"/>
      <c r="AE4986" s="116"/>
      <c r="AF4986" s="116"/>
      <c r="AG4986" s="116"/>
      <c r="AH4986" s="116"/>
      <c r="AI4986" s="116"/>
    </row>
    <row r="4987" spans="27:35" ht="18">
      <c r="AA4987" s="116"/>
      <c r="AB4987" s="184"/>
      <c r="AC4987" s="116"/>
      <c r="AD4987" s="116"/>
      <c r="AE4987" s="116"/>
      <c r="AF4987" s="116"/>
      <c r="AG4987" s="116"/>
      <c r="AH4987" s="116"/>
      <c r="AI4987" s="116"/>
    </row>
    <row r="4988" spans="27:35" ht="18">
      <c r="AA4988" s="116"/>
      <c r="AB4988" s="87"/>
      <c r="AC4988" s="116"/>
      <c r="AD4988" s="116"/>
      <c r="AE4988" s="116"/>
      <c r="AF4988" s="116"/>
      <c r="AG4988" s="116"/>
      <c r="AH4988" s="116"/>
      <c r="AI4988" s="116"/>
    </row>
    <row r="4989" spans="27:35" ht="18">
      <c r="AA4989" s="116"/>
      <c r="AB4989" s="87"/>
      <c r="AC4989" s="116"/>
      <c r="AD4989" s="116"/>
      <c r="AE4989" s="116"/>
      <c r="AF4989" s="116"/>
      <c r="AG4989" s="116"/>
      <c r="AH4989" s="116"/>
      <c r="AI4989" s="116"/>
    </row>
    <row r="4990" spans="27:35" ht="18">
      <c r="AA4990" s="116"/>
      <c r="AB4990" s="87"/>
      <c r="AC4990" s="116"/>
      <c r="AD4990" s="116"/>
      <c r="AE4990" s="116"/>
      <c r="AF4990" s="116"/>
      <c r="AG4990" s="116"/>
      <c r="AH4990" s="116"/>
      <c r="AI4990" s="116"/>
    </row>
    <row r="4991" spans="27:35" ht="18">
      <c r="AA4991" s="116"/>
      <c r="AB4991" s="87"/>
      <c r="AC4991" s="116"/>
      <c r="AD4991" s="116"/>
      <c r="AE4991" s="116"/>
      <c r="AF4991" s="116"/>
      <c r="AG4991" s="116"/>
      <c r="AH4991" s="116"/>
      <c r="AI4991" s="116"/>
    </row>
    <row r="4992" spans="27:35" ht="18">
      <c r="AA4992" s="116"/>
      <c r="AB4992" s="87"/>
      <c r="AC4992" s="116"/>
      <c r="AD4992" s="116"/>
      <c r="AE4992" s="116"/>
      <c r="AF4992" s="116"/>
      <c r="AG4992" s="116"/>
      <c r="AH4992" s="116"/>
      <c r="AI4992" s="116"/>
    </row>
    <row r="4993" spans="27:35" ht="18">
      <c r="AA4993" s="116"/>
      <c r="AB4993" s="87"/>
      <c r="AC4993" s="116"/>
      <c r="AD4993" s="116"/>
      <c r="AE4993" s="116"/>
      <c r="AF4993" s="116"/>
      <c r="AG4993" s="116"/>
      <c r="AH4993" s="116"/>
      <c r="AI4993" s="116"/>
    </row>
    <row r="4994" spans="27:35" ht="18">
      <c r="AA4994" s="116"/>
      <c r="AB4994" s="87"/>
      <c r="AC4994" s="116"/>
      <c r="AD4994" s="116"/>
      <c r="AE4994" s="116"/>
      <c r="AF4994" s="116"/>
      <c r="AG4994" s="116"/>
      <c r="AH4994" s="116"/>
      <c r="AI4994" s="116"/>
    </row>
    <row r="4995" spans="27:35" ht="18">
      <c r="AA4995" s="116"/>
      <c r="AB4995" s="184"/>
      <c r="AC4995" s="116"/>
      <c r="AD4995" s="116"/>
      <c r="AE4995" s="116"/>
      <c r="AF4995" s="116"/>
      <c r="AG4995" s="116"/>
      <c r="AH4995" s="116"/>
      <c r="AI4995" s="116"/>
    </row>
    <row r="4996" spans="27:35" ht="18">
      <c r="AA4996" s="116"/>
      <c r="AB4996" s="184"/>
      <c r="AC4996" s="116"/>
      <c r="AD4996" s="116"/>
      <c r="AE4996" s="116"/>
      <c r="AF4996" s="116"/>
      <c r="AG4996" s="116"/>
      <c r="AH4996" s="116"/>
      <c r="AI4996" s="116"/>
    </row>
    <row r="4997" spans="27:35" ht="18">
      <c r="AA4997" s="116"/>
      <c r="AB4997" s="87"/>
      <c r="AC4997" s="116"/>
      <c r="AD4997" s="116"/>
      <c r="AE4997" s="116"/>
      <c r="AF4997" s="116"/>
      <c r="AG4997" s="116"/>
      <c r="AH4997" s="116"/>
      <c r="AI4997" s="116"/>
    </row>
    <row r="4998" spans="27:35" ht="18">
      <c r="AA4998" s="116"/>
      <c r="AB4998" s="87"/>
      <c r="AC4998" s="116"/>
      <c r="AD4998" s="116"/>
      <c r="AE4998" s="116"/>
      <c r="AF4998" s="116"/>
      <c r="AG4998" s="116"/>
      <c r="AH4998" s="116"/>
      <c r="AI4998" s="116"/>
    </row>
    <row r="4999" spans="27:35" ht="18">
      <c r="AA4999" s="116"/>
      <c r="AB4999" s="87"/>
      <c r="AC4999" s="116"/>
      <c r="AD4999" s="116"/>
      <c r="AE4999" s="116"/>
      <c r="AF4999" s="116"/>
      <c r="AG4999" s="116"/>
      <c r="AH4999" s="116"/>
      <c r="AI4999" s="116"/>
    </row>
    <row r="5000" spans="27:35" ht="18">
      <c r="AA5000" s="116"/>
      <c r="AB5000" s="87"/>
      <c r="AC5000" s="116"/>
      <c r="AD5000" s="116"/>
      <c r="AE5000" s="116"/>
      <c r="AF5000" s="116"/>
      <c r="AG5000" s="116"/>
      <c r="AH5000" s="116"/>
      <c r="AI5000" s="116"/>
    </row>
    <row r="5001" spans="27:35" ht="18">
      <c r="AA5001" s="116"/>
      <c r="AB5001" s="87"/>
      <c r="AC5001" s="116"/>
      <c r="AD5001" s="116"/>
      <c r="AE5001" s="116"/>
      <c r="AF5001" s="116"/>
      <c r="AG5001" s="116"/>
      <c r="AH5001" s="116"/>
      <c r="AI5001" s="116"/>
    </row>
    <row r="5002" spans="27:35" ht="18">
      <c r="AA5002" s="116"/>
      <c r="AB5002" s="87"/>
      <c r="AC5002" s="116"/>
      <c r="AD5002" s="116"/>
      <c r="AE5002" s="116"/>
      <c r="AF5002" s="116"/>
      <c r="AG5002" s="116"/>
      <c r="AH5002" s="116"/>
      <c r="AI5002" s="116"/>
    </row>
    <row r="5003" spans="27:35" ht="18">
      <c r="AA5003" s="116"/>
      <c r="AB5003" s="87"/>
      <c r="AC5003" s="116"/>
      <c r="AD5003" s="116"/>
      <c r="AE5003" s="116"/>
      <c r="AF5003" s="116"/>
      <c r="AG5003" s="116"/>
      <c r="AH5003" s="116"/>
      <c r="AI5003" s="116"/>
    </row>
    <row r="5004" spans="27:35" ht="18">
      <c r="AA5004" s="116"/>
      <c r="AB5004" s="87"/>
      <c r="AC5004" s="116"/>
      <c r="AD5004" s="116"/>
      <c r="AE5004" s="116"/>
      <c r="AF5004" s="116"/>
      <c r="AG5004" s="116"/>
      <c r="AH5004" s="116"/>
      <c r="AI5004" s="116"/>
    </row>
    <row r="5005" spans="27:35" ht="18">
      <c r="AA5005" s="116"/>
      <c r="AB5005" s="87"/>
      <c r="AC5005" s="116"/>
      <c r="AD5005" s="116"/>
      <c r="AE5005" s="116"/>
      <c r="AF5005" s="116"/>
      <c r="AG5005" s="116"/>
      <c r="AH5005" s="116"/>
      <c r="AI5005" s="116"/>
    </row>
    <row r="5006" spans="27:35" ht="18">
      <c r="AA5006" s="116"/>
      <c r="AB5006" s="87"/>
      <c r="AC5006" s="116"/>
      <c r="AD5006" s="116"/>
      <c r="AE5006" s="116"/>
      <c r="AF5006" s="116"/>
      <c r="AG5006" s="116"/>
      <c r="AH5006" s="116"/>
      <c r="AI5006" s="116"/>
    </row>
    <row r="5007" spans="27:35" ht="18">
      <c r="AA5007" s="116"/>
      <c r="AB5007" s="87"/>
      <c r="AC5007" s="116"/>
      <c r="AD5007" s="116"/>
      <c r="AE5007" s="116"/>
      <c r="AF5007" s="116"/>
      <c r="AG5007" s="116"/>
      <c r="AH5007" s="116"/>
      <c r="AI5007" s="116"/>
    </row>
    <row r="5008" spans="27:35" ht="18">
      <c r="AA5008" s="116"/>
      <c r="AB5008" s="87"/>
      <c r="AC5008" s="116"/>
      <c r="AD5008" s="116"/>
      <c r="AE5008" s="116"/>
      <c r="AF5008" s="116"/>
      <c r="AG5008" s="116"/>
      <c r="AH5008" s="116"/>
      <c r="AI5008" s="116"/>
    </row>
    <row r="5009" spans="27:35" ht="18">
      <c r="AA5009" s="116"/>
      <c r="AB5009" s="87"/>
      <c r="AC5009" s="116"/>
      <c r="AD5009" s="116"/>
      <c r="AE5009" s="116"/>
      <c r="AF5009" s="116"/>
      <c r="AG5009" s="116"/>
      <c r="AH5009" s="116"/>
      <c r="AI5009" s="116"/>
    </row>
    <row r="5010" spans="27:35" ht="18">
      <c r="AA5010" s="116"/>
      <c r="AB5010" s="87"/>
      <c r="AC5010" s="116"/>
      <c r="AD5010" s="116"/>
      <c r="AE5010" s="116"/>
      <c r="AF5010" s="116"/>
      <c r="AG5010" s="116"/>
      <c r="AH5010" s="116"/>
      <c r="AI5010" s="116"/>
    </row>
    <row r="5011" spans="27:35" ht="18">
      <c r="AA5011" s="116"/>
      <c r="AB5011" s="87"/>
      <c r="AC5011" s="116"/>
      <c r="AD5011" s="116"/>
      <c r="AE5011" s="116"/>
      <c r="AF5011" s="116"/>
      <c r="AG5011" s="116"/>
      <c r="AH5011" s="116"/>
      <c r="AI5011" s="116"/>
    </row>
    <row r="5012" spans="27:35" ht="18">
      <c r="AA5012" s="116"/>
      <c r="AB5012" s="87"/>
      <c r="AC5012" s="116"/>
      <c r="AD5012" s="116"/>
      <c r="AE5012" s="116"/>
      <c r="AF5012" s="116"/>
      <c r="AG5012" s="116"/>
      <c r="AH5012" s="116"/>
      <c r="AI5012" s="116"/>
    </row>
    <row r="5013" spans="27:35" ht="18">
      <c r="AA5013" s="116"/>
      <c r="AB5013" s="87"/>
      <c r="AC5013" s="116"/>
      <c r="AD5013" s="116"/>
      <c r="AE5013" s="116"/>
      <c r="AF5013" s="116"/>
      <c r="AG5013" s="116"/>
      <c r="AH5013" s="116"/>
      <c r="AI5013" s="116"/>
    </row>
    <row r="5014" spans="27:35" ht="18">
      <c r="AA5014" s="116"/>
      <c r="AB5014" s="87"/>
      <c r="AC5014" s="116"/>
      <c r="AD5014" s="116"/>
      <c r="AE5014" s="116"/>
      <c r="AF5014" s="116"/>
      <c r="AG5014" s="116"/>
      <c r="AH5014" s="116"/>
      <c r="AI5014" s="116"/>
    </row>
    <row r="5015" spans="27:35" ht="18">
      <c r="AA5015" s="116"/>
      <c r="AB5015" s="87"/>
      <c r="AC5015" s="116"/>
      <c r="AD5015" s="116"/>
      <c r="AE5015" s="116"/>
      <c r="AF5015" s="116"/>
      <c r="AG5015" s="116"/>
      <c r="AH5015" s="116"/>
      <c r="AI5015" s="116"/>
    </row>
    <row r="5016" spans="27:35" ht="18">
      <c r="AA5016" s="116"/>
      <c r="AB5016" s="87"/>
      <c r="AC5016" s="116"/>
      <c r="AD5016" s="116"/>
      <c r="AE5016" s="116"/>
      <c r="AF5016" s="116"/>
      <c r="AG5016" s="116"/>
      <c r="AH5016" s="116"/>
      <c r="AI5016" s="116"/>
    </row>
    <row r="5017" spans="27:35" ht="18">
      <c r="AA5017" s="116"/>
      <c r="AB5017" s="87"/>
      <c r="AC5017" s="116"/>
      <c r="AD5017" s="116"/>
      <c r="AE5017" s="116"/>
      <c r="AF5017" s="116"/>
      <c r="AG5017" s="116"/>
      <c r="AH5017" s="116"/>
      <c r="AI5017" s="116"/>
    </row>
    <row r="5018" spans="27:35" ht="18">
      <c r="AA5018" s="116"/>
      <c r="AB5018" s="87"/>
      <c r="AC5018" s="116"/>
      <c r="AD5018" s="116"/>
      <c r="AE5018" s="116"/>
      <c r="AF5018" s="116"/>
      <c r="AG5018" s="116"/>
      <c r="AH5018" s="116"/>
      <c r="AI5018" s="116"/>
    </row>
    <row r="5019" spans="27:35" ht="18">
      <c r="AA5019" s="116"/>
      <c r="AB5019" s="87"/>
      <c r="AC5019" s="116"/>
      <c r="AD5019" s="116"/>
      <c r="AE5019" s="116"/>
      <c r="AF5019" s="116"/>
      <c r="AG5019" s="116"/>
      <c r="AH5019" s="116"/>
      <c r="AI5019" s="116"/>
    </row>
    <row r="5020" spans="27:35" ht="18">
      <c r="AA5020" s="116"/>
      <c r="AB5020" s="87"/>
      <c r="AC5020" s="116"/>
      <c r="AD5020" s="116"/>
      <c r="AE5020" s="116"/>
      <c r="AF5020" s="116"/>
      <c r="AG5020" s="116"/>
      <c r="AH5020" s="116"/>
      <c r="AI5020" s="116"/>
    </row>
    <row r="5021" spans="27:35" ht="18">
      <c r="AA5021" s="116"/>
      <c r="AB5021" s="87"/>
      <c r="AC5021" s="116"/>
      <c r="AD5021" s="116"/>
      <c r="AE5021" s="116"/>
      <c r="AF5021" s="116"/>
      <c r="AG5021" s="116"/>
      <c r="AH5021" s="116"/>
      <c r="AI5021" s="116"/>
    </row>
    <row r="5022" spans="27:35" ht="18">
      <c r="AA5022" s="116"/>
      <c r="AB5022" s="87"/>
      <c r="AC5022" s="116"/>
      <c r="AD5022" s="116"/>
      <c r="AE5022" s="116"/>
      <c r="AF5022" s="116"/>
      <c r="AG5022" s="116"/>
      <c r="AH5022" s="116"/>
      <c r="AI5022" s="116"/>
    </row>
    <row r="5023" spans="27:35" ht="18">
      <c r="AA5023" s="116"/>
      <c r="AB5023" s="87"/>
      <c r="AC5023" s="116"/>
      <c r="AD5023" s="116"/>
      <c r="AE5023" s="116"/>
      <c r="AF5023" s="116"/>
      <c r="AG5023" s="116"/>
      <c r="AH5023" s="116"/>
      <c r="AI5023" s="116"/>
    </row>
    <row r="5024" spans="27:35" ht="18">
      <c r="AA5024" s="116"/>
      <c r="AB5024" s="87"/>
      <c r="AC5024" s="116"/>
      <c r="AD5024" s="116"/>
      <c r="AE5024" s="116"/>
      <c r="AF5024" s="116"/>
      <c r="AG5024" s="116"/>
      <c r="AH5024" s="116"/>
      <c r="AI5024" s="116"/>
    </row>
    <row r="5025" spans="27:35" ht="18">
      <c r="AA5025" s="116"/>
      <c r="AB5025" s="87"/>
      <c r="AC5025" s="116"/>
      <c r="AD5025" s="116"/>
      <c r="AE5025" s="116"/>
      <c r="AF5025" s="116"/>
      <c r="AG5025" s="116"/>
      <c r="AH5025" s="116"/>
      <c r="AI5025" s="116"/>
    </row>
    <row r="5026" spans="27:35" ht="18">
      <c r="AA5026" s="116"/>
      <c r="AB5026" s="87"/>
      <c r="AC5026" s="116"/>
      <c r="AD5026" s="116"/>
      <c r="AE5026" s="116"/>
      <c r="AF5026" s="116"/>
      <c r="AG5026" s="116"/>
      <c r="AH5026" s="116"/>
      <c r="AI5026" s="116"/>
    </row>
    <row r="5027" spans="27:35" ht="18">
      <c r="AA5027" s="116"/>
      <c r="AB5027" s="87"/>
      <c r="AC5027" s="116"/>
      <c r="AD5027" s="116"/>
      <c r="AE5027" s="116"/>
      <c r="AF5027" s="116"/>
      <c r="AG5027" s="116"/>
      <c r="AH5027" s="116"/>
      <c r="AI5027" s="116"/>
    </row>
    <row r="5028" spans="27:35" ht="18">
      <c r="AA5028" s="116"/>
      <c r="AB5028" s="87"/>
      <c r="AC5028" s="116"/>
      <c r="AD5028" s="116"/>
      <c r="AE5028" s="116"/>
      <c r="AF5028" s="116"/>
      <c r="AG5028" s="116"/>
      <c r="AH5028" s="116"/>
      <c r="AI5028" s="116"/>
    </row>
    <row r="5029" spans="27:35" ht="18">
      <c r="AA5029" s="116"/>
      <c r="AB5029" s="87"/>
      <c r="AC5029" s="116"/>
      <c r="AD5029" s="116"/>
      <c r="AE5029" s="116"/>
      <c r="AF5029" s="116"/>
      <c r="AG5029" s="116"/>
      <c r="AH5029" s="116"/>
      <c r="AI5029" s="116"/>
    </row>
    <row r="5030" spans="27:35" ht="18">
      <c r="AA5030" s="116"/>
      <c r="AB5030" s="87"/>
      <c r="AC5030" s="116"/>
      <c r="AD5030" s="116"/>
      <c r="AE5030" s="116"/>
      <c r="AF5030" s="116"/>
      <c r="AG5030" s="116"/>
      <c r="AH5030" s="116"/>
      <c r="AI5030" s="116"/>
    </row>
    <row r="5031" spans="27:35" ht="18">
      <c r="AA5031" s="116"/>
      <c r="AB5031" s="87"/>
      <c r="AC5031" s="116"/>
      <c r="AD5031" s="116"/>
      <c r="AE5031" s="116"/>
      <c r="AF5031" s="116"/>
      <c r="AG5031" s="116"/>
      <c r="AH5031" s="116"/>
      <c r="AI5031" s="116"/>
    </row>
    <row r="5032" spans="27:35" ht="18">
      <c r="AA5032" s="116"/>
      <c r="AB5032" s="87"/>
      <c r="AC5032" s="116"/>
      <c r="AD5032" s="116"/>
      <c r="AE5032" s="116"/>
      <c r="AF5032" s="116"/>
      <c r="AG5032" s="116"/>
      <c r="AH5032" s="116"/>
      <c r="AI5032" s="116"/>
    </row>
    <row r="5033" spans="27:35" ht="18">
      <c r="AA5033" s="116"/>
      <c r="AB5033" s="87"/>
      <c r="AC5033" s="116"/>
      <c r="AD5033" s="116"/>
      <c r="AE5033" s="116"/>
      <c r="AF5033" s="116"/>
      <c r="AG5033" s="116"/>
      <c r="AH5033" s="116"/>
      <c r="AI5033" s="116"/>
    </row>
    <row r="5034" spans="27:35" ht="18">
      <c r="AA5034" s="116"/>
      <c r="AB5034" s="87"/>
      <c r="AC5034" s="116"/>
      <c r="AD5034" s="116"/>
      <c r="AE5034" s="116"/>
      <c r="AF5034" s="116"/>
      <c r="AG5034" s="116"/>
      <c r="AH5034" s="116"/>
      <c r="AI5034" s="116"/>
    </row>
    <row r="5035" spans="27:35" ht="18">
      <c r="AA5035" s="116"/>
      <c r="AB5035" s="87"/>
      <c r="AC5035" s="116"/>
      <c r="AD5035" s="116"/>
      <c r="AE5035" s="116"/>
      <c r="AF5035" s="116"/>
      <c r="AG5035" s="116"/>
      <c r="AH5035" s="116"/>
      <c r="AI5035" s="116"/>
    </row>
    <row r="5036" spans="27:35" ht="18">
      <c r="AA5036" s="116"/>
      <c r="AB5036" s="87"/>
      <c r="AC5036" s="116"/>
      <c r="AD5036" s="116"/>
      <c r="AE5036" s="116"/>
      <c r="AF5036" s="116"/>
      <c r="AG5036" s="116"/>
      <c r="AH5036" s="116"/>
      <c r="AI5036" s="116"/>
    </row>
    <row r="5037" spans="27:35" ht="18">
      <c r="AA5037" s="116"/>
      <c r="AB5037" s="87"/>
      <c r="AC5037" s="116"/>
      <c r="AD5037" s="116"/>
      <c r="AE5037" s="116"/>
      <c r="AF5037" s="116"/>
      <c r="AG5037" s="116"/>
      <c r="AH5037" s="116"/>
      <c r="AI5037" s="116"/>
    </row>
    <row r="5038" spans="27:35" ht="18">
      <c r="AA5038" s="116"/>
      <c r="AB5038" s="87"/>
      <c r="AC5038" s="116"/>
      <c r="AD5038" s="116"/>
      <c r="AE5038" s="116"/>
      <c r="AF5038" s="116"/>
      <c r="AG5038" s="116"/>
      <c r="AH5038" s="116"/>
      <c r="AI5038" s="116"/>
    </row>
    <row r="5039" spans="27:35" ht="18">
      <c r="AA5039" s="116"/>
      <c r="AB5039" s="87"/>
      <c r="AC5039" s="116"/>
      <c r="AD5039" s="116"/>
      <c r="AE5039" s="116"/>
      <c r="AF5039" s="116"/>
      <c r="AG5039" s="116"/>
      <c r="AH5039" s="116"/>
      <c r="AI5039" s="116"/>
    </row>
    <row r="5040" spans="27:35" ht="18">
      <c r="AA5040" s="116"/>
      <c r="AB5040" s="87"/>
      <c r="AC5040" s="116"/>
      <c r="AD5040" s="116"/>
      <c r="AE5040" s="116"/>
      <c r="AF5040" s="116"/>
      <c r="AG5040" s="116"/>
      <c r="AH5040" s="116"/>
      <c r="AI5040" s="116"/>
    </row>
    <row r="5041" spans="27:35" ht="18">
      <c r="AA5041" s="116"/>
      <c r="AB5041" s="87"/>
      <c r="AC5041" s="116"/>
      <c r="AD5041" s="116"/>
      <c r="AE5041" s="116"/>
      <c r="AF5041" s="116"/>
      <c r="AG5041" s="116"/>
      <c r="AH5041" s="116"/>
      <c r="AI5041" s="116"/>
    </row>
    <row r="5042" spans="27:35" ht="18">
      <c r="AA5042" s="116"/>
      <c r="AB5042" s="87"/>
      <c r="AC5042" s="116"/>
      <c r="AD5042" s="116"/>
      <c r="AE5042" s="116"/>
      <c r="AF5042" s="116"/>
      <c r="AG5042" s="116"/>
      <c r="AH5042" s="116"/>
      <c r="AI5042" s="116"/>
    </row>
    <row r="5043" spans="27:35" ht="18">
      <c r="AA5043" s="116"/>
      <c r="AB5043" s="87"/>
      <c r="AC5043" s="116"/>
      <c r="AD5043" s="116"/>
      <c r="AE5043" s="116"/>
      <c r="AF5043" s="116"/>
      <c r="AG5043" s="116"/>
      <c r="AH5043" s="116"/>
      <c r="AI5043" s="116"/>
    </row>
    <row r="5044" spans="27:35" ht="18">
      <c r="AA5044" s="116"/>
      <c r="AB5044" s="87"/>
      <c r="AC5044" s="116"/>
      <c r="AD5044" s="116"/>
      <c r="AE5044" s="116"/>
      <c r="AF5044" s="116"/>
      <c r="AG5044" s="116"/>
      <c r="AH5044" s="116"/>
      <c r="AI5044" s="116"/>
    </row>
    <row r="5045" spans="27:35" ht="18">
      <c r="AA5045" s="116"/>
      <c r="AB5045" s="184"/>
      <c r="AC5045" s="116"/>
      <c r="AD5045" s="116"/>
      <c r="AE5045" s="116"/>
      <c r="AF5045" s="116"/>
      <c r="AG5045" s="116"/>
      <c r="AH5045" s="116"/>
      <c r="AI5045" s="116"/>
    </row>
    <row r="5046" spans="27:35" ht="18">
      <c r="AA5046" s="116"/>
      <c r="AB5046" s="87"/>
      <c r="AC5046" s="116"/>
      <c r="AD5046" s="116"/>
      <c r="AE5046" s="116"/>
      <c r="AF5046" s="116"/>
      <c r="AG5046" s="116"/>
      <c r="AH5046" s="116"/>
      <c r="AI5046" s="116"/>
    </row>
    <row r="5047" spans="27:35" ht="18">
      <c r="AA5047" s="116"/>
      <c r="AB5047" s="87"/>
      <c r="AC5047" s="116"/>
      <c r="AD5047" s="116"/>
      <c r="AE5047" s="116"/>
      <c r="AF5047" s="116"/>
      <c r="AG5047" s="116"/>
      <c r="AH5047" s="116"/>
      <c r="AI5047" s="116"/>
    </row>
    <row r="5048" spans="27:35" ht="18">
      <c r="AA5048" s="116"/>
      <c r="AB5048" s="87"/>
      <c r="AC5048" s="116"/>
      <c r="AD5048" s="116"/>
      <c r="AE5048" s="116"/>
      <c r="AF5048" s="116"/>
      <c r="AG5048" s="116"/>
      <c r="AH5048" s="116"/>
      <c r="AI5048" s="116"/>
    </row>
    <row r="5049" spans="27:35" ht="18">
      <c r="AA5049" s="116"/>
      <c r="AB5049" s="87"/>
      <c r="AC5049" s="116"/>
      <c r="AD5049" s="116"/>
      <c r="AE5049" s="116"/>
      <c r="AF5049" s="116"/>
      <c r="AG5049" s="116"/>
      <c r="AH5049" s="116"/>
      <c r="AI5049" s="116"/>
    </row>
    <row r="5050" spans="27:35" ht="18">
      <c r="AA5050" s="116"/>
      <c r="AB5050" s="87"/>
      <c r="AC5050" s="116"/>
      <c r="AD5050" s="116"/>
      <c r="AE5050" s="116"/>
      <c r="AF5050" s="116"/>
      <c r="AG5050" s="116"/>
      <c r="AH5050" s="116"/>
      <c r="AI5050" s="116"/>
    </row>
    <row r="5051" spans="27:35" ht="18">
      <c r="AA5051" s="116"/>
      <c r="AB5051" s="87"/>
      <c r="AC5051" s="116"/>
      <c r="AD5051" s="116"/>
      <c r="AE5051" s="116"/>
      <c r="AF5051" s="116"/>
      <c r="AG5051" s="116"/>
      <c r="AH5051" s="116"/>
      <c r="AI5051" s="116"/>
    </row>
    <row r="5052" spans="27:35" ht="18">
      <c r="AA5052" s="116"/>
      <c r="AB5052" s="87"/>
      <c r="AC5052" s="116"/>
      <c r="AD5052" s="116"/>
      <c r="AE5052" s="116"/>
      <c r="AF5052" s="116"/>
      <c r="AG5052" s="116"/>
      <c r="AH5052" s="116"/>
      <c r="AI5052" s="116"/>
    </row>
    <row r="5053" spans="27:35" ht="18">
      <c r="AA5053" s="116"/>
      <c r="AB5053" s="87"/>
      <c r="AC5053" s="116"/>
      <c r="AD5053" s="116"/>
      <c r="AE5053" s="116"/>
      <c r="AF5053" s="116"/>
      <c r="AG5053" s="116"/>
      <c r="AH5053" s="116"/>
      <c r="AI5053" s="116"/>
    </row>
    <row r="5054" spans="27:35" ht="18">
      <c r="AA5054" s="116"/>
      <c r="AB5054" s="87"/>
      <c r="AC5054" s="116"/>
      <c r="AD5054" s="116"/>
      <c r="AE5054" s="116"/>
      <c r="AF5054" s="116"/>
      <c r="AG5054" s="116"/>
      <c r="AH5054" s="116"/>
      <c r="AI5054" s="116"/>
    </row>
    <row r="5055" spans="27:35" ht="18">
      <c r="AA5055" s="116"/>
      <c r="AB5055" s="87"/>
      <c r="AC5055" s="116"/>
      <c r="AD5055" s="116"/>
      <c r="AE5055" s="116"/>
      <c r="AF5055" s="116"/>
      <c r="AG5055" s="116"/>
      <c r="AH5055" s="116"/>
      <c r="AI5055" s="116"/>
    </row>
    <row r="5056" spans="27:35" ht="18">
      <c r="AA5056" s="116"/>
      <c r="AB5056" s="87"/>
      <c r="AC5056" s="116"/>
      <c r="AD5056" s="116"/>
      <c r="AE5056" s="116"/>
      <c r="AF5056" s="116"/>
      <c r="AG5056" s="116"/>
      <c r="AH5056" s="116"/>
      <c r="AI5056" s="116"/>
    </row>
    <row r="5057" spans="27:35" ht="18">
      <c r="AA5057" s="116"/>
      <c r="AB5057" s="87"/>
      <c r="AC5057" s="116"/>
      <c r="AD5057" s="116"/>
      <c r="AE5057" s="116"/>
      <c r="AF5057" s="116"/>
      <c r="AG5057" s="116"/>
      <c r="AH5057" s="116"/>
      <c r="AI5057" s="116"/>
    </row>
    <row r="5058" spans="27:35" ht="18">
      <c r="AA5058" s="116"/>
      <c r="AB5058" s="87"/>
      <c r="AC5058" s="116"/>
      <c r="AD5058" s="116"/>
      <c r="AE5058" s="116"/>
      <c r="AF5058" s="116"/>
      <c r="AG5058" s="116"/>
      <c r="AH5058" s="116"/>
      <c r="AI5058" s="116"/>
    </row>
    <row r="5059" spans="27:35" ht="18">
      <c r="AA5059" s="116"/>
      <c r="AB5059" s="87"/>
      <c r="AC5059" s="116"/>
      <c r="AD5059" s="116"/>
      <c r="AE5059" s="116"/>
      <c r="AF5059" s="116"/>
      <c r="AG5059" s="116"/>
      <c r="AH5059" s="116"/>
      <c r="AI5059" s="116"/>
    </row>
    <row r="5060" spans="27:35" ht="18">
      <c r="AA5060" s="116"/>
      <c r="AB5060" s="87"/>
      <c r="AC5060" s="116"/>
      <c r="AD5060" s="116"/>
      <c r="AE5060" s="116"/>
      <c r="AF5060" s="116"/>
      <c r="AG5060" s="116"/>
      <c r="AH5060" s="116"/>
      <c r="AI5060" s="116"/>
    </row>
    <row r="5061" spans="27:35" ht="18">
      <c r="AA5061" s="116"/>
      <c r="AB5061" s="87"/>
      <c r="AC5061" s="116"/>
      <c r="AD5061" s="116"/>
      <c r="AE5061" s="116"/>
      <c r="AF5061" s="116"/>
      <c r="AG5061" s="116"/>
      <c r="AH5061" s="116"/>
      <c r="AI5061" s="116"/>
    </row>
    <row r="5062" spans="27:35" ht="18">
      <c r="AA5062" s="116"/>
      <c r="AB5062" s="87"/>
      <c r="AC5062" s="116"/>
      <c r="AD5062" s="116"/>
      <c r="AE5062" s="116"/>
      <c r="AF5062" s="116"/>
      <c r="AG5062" s="116"/>
      <c r="AH5062" s="116"/>
      <c r="AI5062" s="116"/>
    </row>
    <row r="5063" spans="27:35" ht="18">
      <c r="AA5063" s="116"/>
      <c r="AB5063" s="87"/>
      <c r="AC5063" s="116"/>
      <c r="AD5063" s="116"/>
      <c r="AE5063" s="116"/>
      <c r="AF5063" s="116"/>
      <c r="AG5063" s="116"/>
      <c r="AH5063" s="116"/>
      <c r="AI5063" s="116"/>
    </row>
    <row r="5064" spans="27:35" ht="18">
      <c r="AA5064" s="116"/>
      <c r="AB5064" s="184"/>
      <c r="AC5064" s="116"/>
      <c r="AD5064" s="116"/>
      <c r="AE5064" s="116"/>
      <c r="AF5064" s="116"/>
      <c r="AG5064" s="116"/>
      <c r="AH5064" s="116"/>
      <c r="AI5064" s="116"/>
    </row>
    <row r="5065" spans="27:35" ht="18">
      <c r="AA5065" s="116"/>
      <c r="AB5065" s="87"/>
      <c r="AC5065" s="116"/>
      <c r="AD5065" s="116"/>
      <c r="AE5065" s="116"/>
      <c r="AF5065" s="116"/>
      <c r="AG5065" s="116"/>
      <c r="AH5065" s="116"/>
      <c r="AI5065" s="116"/>
    </row>
    <row r="5066" spans="27:35" ht="18">
      <c r="AA5066" s="116"/>
      <c r="AB5066" s="87"/>
      <c r="AC5066" s="116"/>
      <c r="AD5066" s="116"/>
      <c r="AE5066" s="116"/>
      <c r="AF5066" s="116"/>
      <c r="AG5066" s="116"/>
      <c r="AH5066" s="116"/>
      <c r="AI5066" s="116"/>
    </row>
    <row r="5067" spans="27:35" ht="18">
      <c r="AA5067" s="116"/>
      <c r="AB5067" s="87"/>
      <c r="AC5067" s="116"/>
      <c r="AD5067" s="116"/>
      <c r="AE5067" s="116"/>
      <c r="AF5067" s="116"/>
      <c r="AG5067" s="116"/>
      <c r="AH5067" s="116"/>
      <c r="AI5067" s="116"/>
    </row>
    <row r="5068" spans="27:35" ht="18">
      <c r="AA5068" s="116"/>
      <c r="AB5068" s="87"/>
      <c r="AC5068" s="116"/>
      <c r="AD5068" s="116"/>
      <c r="AE5068" s="116"/>
      <c r="AF5068" s="116"/>
      <c r="AG5068" s="116"/>
      <c r="AH5068" s="116"/>
      <c r="AI5068" s="116"/>
    </row>
    <row r="5069" spans="27:35" ht="18">
      <c r="AA5069" s="116"/>
      <c r="AB5069" s="87"/>
      <c r="AC5069" s="116"/>
      <c r="AD5069" s="116"/>
      <c r="AE5069" s="116"/>
      <c r="AF5069" s="116"/>
      <c r="AG5069" s="116"/>
      <c r="AH5069" s="116"/>
      <c r="AI5069" s="116"/>
    </row>
    <row r="5070" spans="27:35" ht="18">
      <c r="AA5070" s="116"/>
      <c r="AB5070" s="87"/>
      <c r="AC5070" s="116"/>
      <c r="AD5070" s="116"/>
      <c r="AE5070" s="116"/>
      <c r="AF5070" s="116"/>
      <c r="AG5070" s="116"/>
      <c r="AH5070" s="116"/>
      <c r="AI5070" s="116"/>
    </row>
    <row r="5071" spans="27:35" ht="18">
      <c r="AA5071" s="116"/>
      <c r="AB5071" s="87"/>
      <c r="AC5071" s="116"/>
      <c r="AD5071" s="116"/>
      <c r="AE5071" s="116"/>
      <c r="AF5071" s="116"/>
      <c r="AG5071" s="116"/>
      <c r="AH5071" s="116"/>
      <c r="AI5071" s="116"/>
    </row>
    <row r="5072" spans="27:35" ht="18">
      <c r="AA5072" s="116"/>
      <c r="AB5072" s="87"/>
      <c r="AC5072" s="116"/>
      <c r="AD5072" s="116"/>
      <c r="AE5072" s="116"/>
      <c r="AF5072" s="116"/>
      <c r="AG5072" s="116"/>
      <c r="AH5072" s="116"/>
      <c r="AI5072" s="116"/>
    </row>
    <row r="5073" spans="27:35" ht="18">
      <c r="AA5073" s="116"/>
      <c r="AB5073" s="87"/>
      <c r="AC5073" s="116"/>
      <c r="AD5073" s="116"/>
      <c r="AE5073" s="116"/>
      <c r="AF5073" s="116"/>
      <c r="AG5073" s="116"/>
      <c r="AH5073" s="116"/>
      <c r="AI5073" s="116"/>
    </row>
    <row r="5074" spans="27:35" ht="18">
      <c r="AA5074" s="116"/>
      <c r="AB5074" s="87"/>
      <c r="AC5074" s="116"/>
      <c r="AD5074" s="116"/>
      <c r="AE5074" s="116"/>
      <c r="AF5074" s="116"/>
      <c r="AG5074" s="116"/>
      <c r="AH5074" s="116"/>
      <c r="AI5074" s="116"/>
    </row>
    <row r="5075" spans="27:35" ht="18">
      <c r="AA5075" s="116"/>
      <c r="AB5075" s="87"/>
      <c r="AC5075" s="116"/>
      <c r="AD5075" s="116"/>
      <c r="AE5075" s="116"/>
      <c r="AF5075" s="116"/>
      <c r="AG5075" s="116"/>
      <c r="AH5075" s="116"/>
      <c r="AI5075" s="116"/>
    </row>
    <row r="5076" spans="27:35" ht="18">
      <c r="AA5076" s="116"/>
      <c r="AB5076" s="87"/>
      <c r="AC5076" s="116"/>
      <c r="AD5076" s="116"/>
      <c r="AE5076" s="116"/>
      <c r="AF5076" s="116"/>
      <c r="AG5076" s="116"/>
      <c r="AH5076" s="116"/>
      <c r="AI5076" s="116"/>
    </row>
    <row r="5077" spans="27:35" ht="18">
      <c r="AA5077" s="116"/>
      <c r="AB5077" s="87"/>
      <c r="AC5077" s="116"/>
      <c r="AD5077" s="116"/>
      <c r="AE5077" s="116"/>
      <c r="AF5077" s="116"/>
      <c r="AG5077" s="116"/>
      <c r="AH5077" s="116"/>
      <c r="AI5077" s="116"/>
    </row>
    <row r="5078" spans="27:35" ht="18">
      <c r="AA5078" s="116"/>
      <c r="AB5078" s="184"/>
      <c r="AC5078" s="116"/>
      <c r="AD5078" s="116"/>
      <c r="AE5078" s="116"/>
      <c r="AF5078" s="116"/>
      <c r="AG5078" s="116"/>
      <c r="AH5078" s="116"/>
      <c r="AI5078" s="116"/>
    </row>
    <row r="5079" spans="27:35" ht="18">
      <c r="AA5079" s="116"/>
      <c r="AB5079" s="184"/>
      <c r="AC5079" s="116"/>
      <c r="AD5079" s="116"/>
      <c r="AE5079" s="116"/>
      <c r="AF5079" s="116"/>
      <c r="AG5079" s="116"/>
      <c r="AH5079" s="116"/>
      <c r="AI5079" s="116"/>
    </row>
    <row r="5080" spans="27:35" ht="18">
      <c r="AA5080" s="116"/>
      <c r="AB5080" s="87"/>
      <c r="AC5080" s="116"/>
      <c r="AD5080" s="116"/>
      <c r="AE5080" s="116"/>
      <c r="AF5080" s="116"/>
      <c r="AG5080" s="116"/>
      <c r="AH5080" s="116"/>
      <c r="AI5080" s="116"/>
    </row>
    <row r="5081" spans="27:35" ht="18">
      <c r="AA5081" s="116"/>
      <c r="AB5081" s="87"/>
      <c r="AC5081" s="116"/>
      <c r="AD5081" s="116"/>
      <c r="AE5081" s="116"/>
      <c r="AF5081" s="116"/>
      <c r="AG5081" s="116"/>
      <c r="AH5081" s="116"/>
      <c r="AI5081" s="116"/>
    </row>
    <row r="5082" spans="27:35" ht="18">
      <c r="AA5082" s="116"/>
      <c r="AB5082" s="87"/>
      <c r="AC5082" s="116"/>
      <c r="AD5082" s="116"/>
      <c r="AE5082" s="116"/>
      <c r="AF5082" s="116"/>
      <c r="AG5082" s="116"/>
      <c r="AH5082" s="116"/>
      <c r="AI5082" s="116"/>
    </row>
    <row r="5083" spans="27:35" ht="18">
      <c r="AA5083" s="116"/>
      <c r="AB5083" s="87"/>
      <c r="AC5083" s="116"/>
      <c r="AD5083" s="116"/>
      <c r="AE5083" s="116"/>
      <c r="AF5083" s="116"/>
      <c r="AG5083" s="116"/>
      <c r="AH5083" s="116"/>
      <c r="AI5083" s="116"/>
    </row>
    <row r="5084" spans="27:35" ht="18">
      <c r="AA5084" s="116"/>
      <c r="AB5084" s="87"/>
      <c r="AC5084" s="116"/>
      <c r="AD5084" s="116"/>
      <c r="AE5084" s="116"/>
      <c r="AF5084" s="116"/>
      <c r="AG5084" s="116"/>
      <c r="AH5084" s="116"/>
      <c r="AI5084" s="116"/>
    </row>
    <row r="5085" spans="27:35" ht="18">
      <c r="AA5085" s="116"/>
      <c r="AB5085" s="87"/>
      <c r="AC5085" s="116"/>
      <c r="AD5085" s="116"/>
      <c r="AE5085" s="116"/>
      <c r="AF5085" s="116"/>
      <c r="AG5085" s="116"/>
      <c r="AH5085" s="116"/>
      <c r="AI5085" s="116"/>
    </row>
    <row r="5086" spans="27:35" ht="18">
      <c r="AA5086" s="116"/>
      <c r="AB5086" s="87"/>
      <c r="AC5086" s="116"/>
      <c r="AD5086" s="116"/>
      <c r="AE5086" s="116"/>
      <c r="AF5086" s="116"/>
      <c r="AG5086" s="116"/>
      <c r="AH5086" s="116"/>
      <c r="AI5086" s="116"/>
    </row>
    <row r="5087" spans="27:35" ht="18">
      <c r="AA5087" s="116"/>
      <c r="AB5087" s="87"/>
      <c r="AC5087" s="116"/>
      <c r="AD5087" s="116"/>
      <c r="AE5087" s="116"/>
      <c r="AF5087" s="116"/>
      <c r="AG5087" s="116"/>
      <c r="AH5087" s="116"/>
      <c r="AI5087" s="116"/>
    </row>
    <row r="5088" spans="27:35" ht="18">
      <c r="AA5088" s="116"/>
      <c r="AB5088" s="87"/>
      <c r="AC5088" s="116"/>
      <c r="AD5088" s="116"/>
      <c r="AE5088" s="116"/>
      <c r="AF5088" s="116"/>
      <c r="AG5088" s="116"/>
      <c r="AH5088" s="116"/>
      <c r="AI5088" s="116"/>
    </row>
    <row r="5089" spans="27:35" ht="18">
      <c r="AA5089" s="116"/>
      <c r="AB5089" s="87"/>
      <c r="AC5089" s="116"/>
      <c r="AD5089" s="116"/>
      <c r="AE5089" s="116"/>
      <c r="AF5089" s="116"/>
      <c r="AG5089" s="116"/>
      <c r="AH5089" s="116"/>
      <c r="AI5089" s="116"/>
    </row>
    <row r="5090" spans="27:35" ht="18">
      <c r="AA5090" s="116"/>
      <c r="AB5090" s="87"/>
      <c r="AC5090" s="116"/>
      <c r="AD5090" s="116"/>
      <c r="AE5090" s="116"/>
      <c r="AF5090" s="116"/>
      <c r="AG5090" s="116"/>
      <c r="AH5090" s="116"/>
      <c r="AI5090" s="116"/>
    </row>
    <row r="5091" spans="27:35" ht="18">
      <c r="AA5091" s="116"/>
      <c r="AB5091" s="87"/>
      <c r="AC5091" s="116"/>
      <c r="AD5091" s="116"/>
      <c r="AE5091" s="116"/>
      <c r="AF5091" s="116"/>
      <c r="AG5091" s="116"/>
      <c r="AH5091" s="116"/>
      <c r="AI5091" s="116"/>
    </row>
    <row r="5092" spans="27:35" ht="18">
      <c r="AA5092" s="116"/>
      <c r="AB5092" s="87"/>
      <c r="AC5092" s="116"/>
      <c r="AD5092" s="116"/>
      <c r="AE5092" s="116"/>
      <c r="AF5092" s="116"/>
      <c r="AG5092" s="116"/>
      <c r="AH5092" s="116"/>
      <c r="AI5092" s="116"/>
    </row>
    <row r="5093" spans="27:35" ht="18">
      <c r="AA5093" s="116"/>
      <c r="AB5093" s="87"/>
      <c r="AC5093" s="116"/>
      <c r="AD5093" s="116"/>
      <c r="AE5093" s="116"/>
      <c r="AF5093" s="116"/>
      <c r="AG5093" s="116"/>
      <c r="AH5093" s="116"/>
      <c r="AI5093" s="116"/>
    </row>
    <row r="5094" spans="27:35" ht="18">
      <c r="AA5094" s="116"/>
      <c r="AB5094" s="87"/>
      <c r="AC5094" s="116"/>
      <c r="AD5094" s="116"/>
      <c r="AE5094" s="116"/>
      <c r="AF5094" s="116"/>
      <c r="AG5094" s="116"/>
      <c r="AH5094" s="116"/>
      <c r="AI5094" s="116"/>
    </row>
    <row r="5095" spans="27:35" ht="18">
      <c r="AA5095" s="116"/>
      <c r="AB5095" s="87"/>
      <c r="AC5095" s="116"/>
      <c r="AD5095" s="116"/>
      <c r="AE5095" s="116"/>
      <c r="AF5095" s="116"/>
      <c r="AG5095" s="116"/>
      <c r="AH5095" s="116"/>
      <c r="AI5095" s="116"/>
    </row>
    <row r="5096" spans="27:35" ht="18">
      <c r="AA5096" s="116"/>
      <c r="AB5096" s="87"/>
      <c r="AC5096" s="116"/>
      <c r="AD5096" s="116"/>
      <c r="AE5096" s="116"/>
      <c r="AF5096" s="116"/>
      <c r="AG5096" s="116"/>
      <c r="AH5096" s="116"/>
      <c r="AI5096" s="116"/>
    </row>
    <row r="5097" spans="27:35" ht="18">
      <c r="AA5097" s="116"/>
      <c r="AB5097" s="87"/>
      <c r="AC5097" s="116"/>
      <c r="AD5097" s="116"/>
      <c r="AE5097" s="116"/>
      <c r="AF5097" s="116"/>
      <c r="AG5097" s="116"/>
      <c r="AH5097" s="116"/>
      <c r="AI5097" s="116"/>
    </row>
    <row r="5098" spans="27:35" ht="18">
      <c r="AA5098" s="116"/>
      <c r="AB5098" s="87"/>
      <c r="AC5098" s="116"/>
      <c r="AD5098" s="116"/>
      <c r="AE5098" s="116"/>
      <c r="AF5098" s="116"/>
      <c r="AG5098" s="116"/>
      <c r="AH5098" s="116"/>
      <c r="AI5098" s="116"/>
    </row>
    <row r="5099" spans="27:35" ht="18">
      <c r="AA5099" s="116"/>
      <c r="AB5099" s="87"/>
      <c r="AC5099" s="116"/>
      <c r="AD5099" s="116"/>
      <c r="AE5099" s="116"/>
      <c r="AF5099" s="116"/>
      <c r="AG5099" s="116"/>
      <c r="AH5099" s="116"/>
      <c r="AI5099" s="116"/>
    </row>
    <row r="5100" spans="27:35" ht="18">
      <c r="AA5100" s="116"/>
      <c r="AB5100" s="87"/>
      <c r="AC5100" s="116"/>
      <c r="AD5100" s="116"/>
      <c r="AE5100" s="116"/>
      <c r="AF5100" s="116"/>
      <c r="AG5100" s="116"/>
      <c r="AH5100" s="116"/>
      <c r="AI5100" s="116"/>
    </row>
    <row r="5101" spans="27:35" ht="18">
      <c r="AA5101" s="116"/>
      <c r="AB5101" s="87"/>
      <c r="AC5101" s="116"/>
      <c r="AD5101" s="116"/>
      <c r="AE5101" s="116"/>
      <c r="AF5101" s="116"/>
      <c r="AG5101" s="116"/>
      <c r="AH5101" s="116"/>
      <c r="AI5101" s="116"/>
    </row>
    <row r="5102" spans="27:35" ht="18">
      <c r="AA5102" s="116"/>
      <c r="AB5102" s="87"/>
      <c r="AC5102" s="116"/>
      <c r="AD5102" s="116"/>
      <c r="AE5102" s="116"/>
      <c r="AF5102" s="116"/>
      <c r="AG5102" s="116"/>
      <c r="AH5102" s="116"/>
      <c r="AI5102" s="116"/>
    </row>
    <row r="5103" spans="27:35" ht="18">
      <c r="AA5103" s="116"/>
      <c r="AB5103" s="87"/>
      <c r="AC5103" s="116"/>
      <c r="AD5103" s="116"/>
      <c r="AE5103" s="116"/>
      <c r="AF5103" s="116"/>
      <c r="AG5103" s="116"/>
      <c r="AH5103" s="116"/>
      <c r="AI5103" s="116"/>
    </row>
    <row r="5104" spans="27:35" ht="18">
      <c r="AA5104" s="116"/>
      <c r="AB5104" s="87"/>
      <c r="AC5104" s="116"/>
      <c r="AD5104" s="116"/>
      <c r="AE5104" s="116"/>
      <c r="AF5104" s="116"/>
      <c r="AG5104" s="116"/>
      <c r="AH5104" s="116"/>
      <c r="AI5104" s="116"/>
    </row>
    <row r="5105" spans="27:35" ht="18">
      <c r="AA5105" s="116"/>
      <c r="AB5105" s="87"/>
      <c r="AC5105" s="116"/>
      <c r="AD5105" s="116"/>
      <c r="AE5105" s="116"/>
      <c r="AF5105" s="116"/>
      <c r="AG5105" s="116"/>
      <c r="AH5105" s="116"/>
      <c r="AI5105" s="116"/>
    </row>
    <row r="5106" spans="27:35" ht="18">
      <c r="AA5106" s="116"/>
      <c r="AB5106" s="87"/>
      <c r="AC5106" s="116"/>
      <c r="AD5106" s="116"/>
      <c r="AE5106" s="116"/>
      <c r="AF5106" s="116"/>
      <c r="AG5106" s="116"/>
      <c r="AH5106" s="116"/>
      <c r="AI5106" s="116"/>
    </row>
    <row r="5107" spans="27:35" ht="18">
      <c r="AA5107" s="116"/>
      <c r="AB5107" s="87"/>
      <c r="AC5107" s="116"/>
      <c r="AD5107" s="116"/>
      <c r="AE5107" s="116"/>
      <c r="AF5107" s="116"/>
      <c r="AG5107" s="116"/>
      <c r="AH5107" s="116"/>
      <c r="AI5107" s="116"/>
    </row>
    <row r="5108" spans="27:35" ht="18">
      <c r="AA5108" s="116"/>
      <c r="AB5108" s="87"/>
      <c r="AC5108" s="116"/>
      <c r="AD5108" s="116"/>
      <c r="AE5108" s="116"/>
      <c r="AF5108" s="116"/>
      <c r="AG5108" s="116"/>
      <c r="AH5108" s="116"/>
      <c r="AI5108" s="116"/>
    </row>
    <row r="5109" spans="27:35" ht="18">
      <c r="AA5109" s="116"/>
      <c r="AB5109" s="184"/>
      <c r="AC5109" s="116"/>
      <c r="AD5109" s="116"/>
      <c r="AE5109" s="116"/>
      <c r="AF5109" s="116"/>
      <c r="AG5109" s="116"/>
      <c r="AH5109" s="116"/>
      <c r="AI5109" s="116"/>
    </row>
    <row r="5110" spans="27:35" ht="18">
      <c r="AA5110" s="116"/>
      <c r="AB5110" s="87"/>
      <c r="AC5110" s="116"/>
      <c r="AD5110" s="116"/>
      <c r="AE5110" s="116"/>
      <c r="AF5110" s="116"/>
      <c r="AG5110" s="116"/>
      <c r="AH5110" s="116"/>
      <c r="AI5110" s="116"/>
    </row>
    <row r="5111" spans="27:35" ht="18">
      <c r="AA5111" s="116"/>
      <c r="AB5111" s="87"/>
      <c r="AC5111" s="116"/>
      <c r="AD5111" s="116"/>
      <c r="AE5111" s="116"/>
      <c r="AF5111" s="116"/>
      <c r="AG5111" s="116"/>
      <c r="AH5111" s="116"/>
      <c r="AI5111" s="116"/>
    </row>
    <row r="5112" spans="27:35" ht="18">
      <c r="AA5112" s="116"/>
      <c r="AB5112" s="87"/>
      <c r="AC5112" s="116"/>
      <c r="AD5112" s="116"/>
      <c r="AE5112" s="116"/>
      <c r="AF5112" s="116"/>
      <c r="AG5112" s="116"/>
      <c r="AH5112" s="116"/>
      <c r="AI5112" s="116"/>
    </row>
    <row r="5113" spans="27:35" ht="18">
      <c r="AA5113" s="116"/>
      <c r="AB5113" s="87"/>
      <c r="AC5113" s="116"/>
      <c r="AD5113" s="116"/>
      <c r="AE5113" s="116"/>
      <c r="AF5113" s="116"/>
      <c r="AG5113" s="116"/>
      <c r="AH5113" s="116"/>
      <c r="AI5113" s="116"/>
    </row>
    <row r="5114" spans="27:35" ht="18">
      <c r="AA5114" s="116"/>
      <c r="AB5114" s="87"/>
      <c r="AC5114" s="116"/>
      <c r="AD5114" s="116"/>
      <c r="AE5114" s="116"/>
      <c r="AF5114" s="116"/>
      <c r="AG5114" s="116"/>
      <c r="AH5114" s="116"/>
      <c r="AI5114" s="116"/>
    </row>
    <row r="5115" spans="27:35" ht="18">
      <c r="AA5115" s="116"/>
      <c r="AB5115" s="184"/>
      <c r="AC5115" s="116"/>
      <c r="AD5115" s="116"/>
      <c r="AE5115" s="116"/>
      <c r="AF5115" s="116"/>
      <c r="AG5115" s="116"/>
      <c r="AH5115" s="116"/>
      <c r="AI5115" s="116"/>
    </row>
    <row r="5116" spans="27:35" ht="18">
      <c r="AA5116" s="116"/>
      <c r="AB5116" s="184"/>
      <c r="AC5116" s="116"/>
      <c r="AD5116" s="116"/>
      <c r="AE5116" s="116"/>
      <c r="AF5116" s="116"/>
      <c r="AG5116" s="116"/>
      <c r="AH5116" s="116"/>
      <c r="AI5116" s="116"/>
    </row>
    <row r="5117" spans="27:35" ht="18">
      <c r="AA5117" s="116"/>
      <c r="AB5117" s="87"/>
      <c r="AC5117" s="116"/>
      <c r="AD5117" s="116"/>
      <c r="AE5117" s="116"/>
      <c r="AF5117" s="116"/>
      <c r="AG5117" s="116"/>
      <c r="AH5117" s="116"/>
      <c r="AI5117" s="116"/>
    </row>
    <row r="5118" spans="27:35" ht="18">
      <c r="AA5118" s="116"/>
      <c r="AB5118" s="87"/>
      <c r="AC5118" s="116"/>
      <c r="AD5118" s="116"/>
      <c r="AE5118" s="116"/>
      <c r="AF5118" s="116"/>
      <c r="AG5118" s="116"/>
      <c r="AH5118" s="116"/>
      <c r="AI5118" s="116"/>
    </row>
    <row r="5119" spans="27:35" ht="18">
      <c r="AA5119" s="116"/>
      <c r="AB5119" s="87"/>
      <c r="AC5119" s="116"/>
      <c r="AD5119" s="116"/>
      <c r="AE5119" s="116"/>
      <c r="AF5119" s="116"/>
      <c r="AG5119" s="116"/>
      <c r="AH5119" s="116"/>
      <c r="AI5119" s="116"/>
    </row>
    <row r="5120" spans="27:35" ht="18">
      <c r="AA5120" s="116"/>
      <c r="AB5120" s="87"/>
      <c r="AC5120" s="116"/>
      <c r="AD5120" s="116"/>
      <c r="AE5120" s="116"/>
      <c r="AF5120" s="116"/>
      <c r="AG5120" s="116"/>
      <c r="AH5120" s="116"/>
      <c r="AI5120" s="116"/>
    </row>
    <row r="5121" spans="27:35" ht="18">
      <c r="AA5121" s="116"/>
      <c r="AB5121" s="87"/>
      <c r="AC5121" s="116"/>
      <c r="AD5121" s="116"/>
      <c r="AE5121" s="116"/>
      <c r="AF5121" s="116"/>
      <c r="AG5121" s="116"/>
      <c r="AH5121" s="116"/>
      <c r="AI5121" s="116"/>
    </row>
    <row r="5122" spans="27:35" ht="18">
      <c r="AA5122" s="116"/>
      <c r="AB5122" s="87"/>
      <c r="AC5122" s="116"/>
      <c r="AD5122" s="116"/>
      <c r="AE5122" s="116"/>
      <c r="AF5122" s="116"/>
      <c r="AG5122" s="116"/>
      <c r="AH5122" s="116"/>
      <c r="AI5122" s="116"/>
    </row>
    <row r="5123" spans="27:35" ht="18">
      <c r="AA5123" s="116"/>
      <c r="AB5123" s="87"/>
      <c r="AC5123" s="116"/>
      <c r="AD5123" s="116"/>
      <c r="AE5123" s="116"/>
      <c r="AF5123" s="116"/>
      <c r="AG5123" s="116"/>
      <c r="AH5123" s="116"/>
      <c r="AI5123" s="116"/>
    </row>
    <row r="5124" spans="27:35" ht="18">
      <c r="AA5124" s="116"/>
      <c r="AB5124" s="87"/>
      <c r="AC5124" s="116"/>
      <c r="AD5124" s="116"/>
      <c r="AE5124" s="116"/>
      <c r="AF5124" s="116"/>
      <c r="AG5124" s="116"/>
      <c r="AH5124" s="116"/>
      <c r="AI5124" s="116"/>
    </row>
    <row r="5125" spans="27:35" ht="18">
      <c r="AA5125" s="116"/>
      <c r="AB5125" s="87"/>
      <c r="AC5125" s="116"/>
      <c r="AD5125" s="116"/>
      <c r="AE5125" s="116"/>
      <c r="AF5125" s="116"/>
      <c r="AG5125" s="116"/>
      <c r="AH5125" s="116"/>
      <c r="AI5125" s="116"/>
    </row>
    <row r="5126" spans="27:35" ht="18">
      <c r="AA5126" s="116"/>
      <c r="AB5126" s="184"/>
      <c r="AC5126" s="116"/>
      <c r="AD5126" s="116"/>
      <c r="AE5126" s="116"/>
      <c r="AF5126" s="116"/>
      <c r="AG5126" s="116"/>
      <c r="AH5126" s="116"/>
      <c r="AI5126" s="116"/>
    </row>
    <row r="5127" spans="27:35" ht="18">
      <c r="AA5127" s="116"/>
      <c r="AB5127" s="184"/>
      <c r="AC5127" s="116"/>
      <c r="AD5127" s="116"/>
      <c r="AE5127" s="116"/>
      <c r="AF5127" s="116"/>
      <c r="AG5127" s="116"/>
      <c r="AH5127" s="116"/>
      <c r="AI5127" s="116"/>
    </row>
    <row r="5128" spans="27:35" ht="18">
      <c r="AA5128" s="116"/>
      <c r="AB5128" s="87"/>
      <c r="AC5128" s="116"/>
      <c r="AD5128" s="116"/>
      <c r="AE5128" s="116"/>
      <c r="AF5128" s="116"/>
      <c r="AG5128" s="116"/>
      <c r="AH5128" s="116"/>
      <c r="AI5128" s="116"/>
    </row>
    <row r="5129" spans="27:35" ht="18">
      <c r="AA5129" s="116"/>
      <c r="AB5129" s="87"/>
      <c r="AC5129" s="116"/>
      <c r="AD5129" s="116"/>
      <c r="AE5129" s="116"/>
      <c r="AF5129" s="116"/>
      <c r="AG5129" s="116"/>
      <c r="AH5129" s="116"/>
      <c r="AI5129" s="116"/>
    </row>
    <row r="5130" spans="27:35" ht="18">
      <c r="AA5130" s="116"/>
      <c r="AB5130" s="87"/>
      <c r="AC5130" s="116"/>
      <c r="AD5130" s="116"/>
      <c r="AE5130" s="116"/>
      <c r="AF5130" s="116"/>
      <c r="AG5130" s="116"/>
      <c r="AH5130" s="116"/>
      <c r="AI5130" s="116"/>
    </row>
    <row r="5131" spans="27:35" ht="18">
      <c r="AA5131" s="116"/>
      <c r="AB5131" s="87"/>
      <c r="AC5131" s="116"/>
      <c r="AD5131" s="116"/>
      <c r="AE5131" s="116"/>
      <c r="AF5131" s="116"/>
      <c r="AG5131" s="116"/>
      <c r="AH5131" s="116"/>
      <c r="AI5131" s="116"/>
    </row>
    <row r="5132" spans="27:35" ht="18">
      <c r="AA5132" s="116"/>
      <c r="AB5132" s="87"/>
      <c r="AC5132" s="116"/>
      <c r="AD5132" s="116"/>
      <c r="AE5132" s="116"/>
      <c r="AF5132" s="116"/>
      <c r="AG5132" s="116"/>
      <c r="AH5132" s="116"/>
      <c r="AI5132" s="116"/>
    </row>
    <row r="5133" spans="27:35" ht="18">
      <c r="AA5133" s="116"/>
      <c r="AB5133" s="87"/>
      <c r="AC5133" s="116"/>
      <c r="AD5133" s="116"/>
      <c r="AE5133" s="116"/>
      <c r="AF5133" s="116"/>
      <c r="AG5133" s="116"/>
      <c r="AH5133" s="116"/>
      <c r="AI5133" s="116"/>
    </row>
    <row r="5134" spans="27:35" ht="18">
      <c r="AA5134" s="116"/>
      <c r="AB5134" s="87"/>
      <c r="AC5134" s="116"/>
      <c r="AD5134" s="116"/>
      <c r="AE5134" s="116"/>
      <c r="AF5134" s="116"/>
      <c r="AG5134" s="116"/>
      <c r="AH5134" s="116"/>
      <c r="AI5134" s="116"/>
    </row>
    <row r="5135" spans="27:35" ht="18">
      <c r="AA5135" s="116"/>
      <c r="AB5135" s="87"/>
      <c r="AC5135" s="116"/>
      <c r="AD5135" s="116"/>
      <c r="AE5135" s="116"/>
      <c r="AF5135" s="116"/>
      <c r="AG5135" s="116"/>
      <c r="AH5135" s="116"/>
      <c r="AI5135" s="116"/>
    </row>
    <row r="5136" spans="27:35" ht="18">
      <c r="AA5136" s="116"/>
      <c r="AB5136" s="87"/>
      <c r="AC5136" s="116"/>
      <c r="AD5136" s="116"/>
      <c r="AE5136" s="116"/>
      <c r="AF5136" s="116"/>
      <c r="AG5136" s="116"/>
      <c r="AH5136" s="116"/>
      <c r="AI5136" s="116"/>
    </row>
    <row r="5137" spans="27:35" ht="18">
      <c r="AA5137" s="116"/>
      <c r="AB5137" s="87"/>
      <c r="AC5137" s="116"/>
      <c r="AD5137" s="116"/>
      <c r="AE5137" s="116"/>
      <c r="AF5137" s="116"/>
      <c r="AG5137" s="116"/>
      <c r="AH5137" s="116"/>
      <c r="AI5137" s="116"/>
    </row>
    <row r="5138" spans="27:35" ht="18">
      <c r="AA5138" s="116"/>
      <c r="AB5138" s="87"/>
      <c r="AC5138" s="116"/>
      <c r="AD5138" s="116"/>
      <c r="AE5138" s="116"/>
      <c r="AF5138" s="116"/>
      <c r="AG5138" s="116"/>
      <c r="AH5138" s="116"/>
      <c r="AI5138" s="116"/>
    </row>
    <row r="5139" spans="27:35" ht="18">
      <c r="AA5139" s="116"/>
      <c r="AB5139" s="87"/>
      <c r="AC5139" s="116"/>
      <c r="AD5139" s="116"/>
      <c r="AE5139" s="116"/>
      <c r="AF5139" s="116"/>
      <c r="AG5139" s="116"/>
      <c r="AH5139" s="116"/>
      <c r="AI5139" s="116"/>
    </row>
    <row r="5140" spans="27:35" ht="18">
      <c r="AA5140" s="116"/>
      <c r="AB5140" s="87"/>
      <c r="AC5140" s="116"/>
      <c r="AD5140" s="116"/>
      <c r="AE5140" s="116"/>
      <c r="AF5140" s="116"/>
      <c r="AG5140" s="116"/>
      <c r="AH5140" s="116"/>
      <c r="AI5140" s="116"/>
    </row>
    <row r="5141" spans="27:35" ht="18">
      <c r="AA5141" s="116"/>
      <c r="AB5141" s="87"/>
      <c r="AC5141" s="116"/>
      <c r="AD5141" s="116"/>
      <c r="AE5141" s="116"/>
      <c r="AF5141" s="116"/>
      <c r="AG5141" s="116"/>
      <c r="AH5141" s="116"/>
      <c r="AI5141" s="116"/>
    </row>
    <row r="5142" spans="27:35" ht="18">
      <c r="AA5142" s="116"/>
      <c r="AB5142" s="87"/>
      <c r="AC5142" s="116"/>
      <c r="AD5142" s="116"/>
      <c r="AE5142" s="116"/>
      <c r="AF5142" s="116"/>
      <c r="AG5142" s="116"/>
      <c r="AH5142" s="116"/>
      <c r="AI5142" s="116"/>
    </row>
    <row r="5143" spans="27:35" ht="18">
      <c r="AA5143" s="116"/>
      <c r="AB5143" s="87"/>
      <c r="AC5143" s="116"/>
      <c r="AD5143" s="116"/>
      <c r="AE5143" s="116"/>
      <c r="AF5143" s="116"/>
      <c r="AG5143" s="116"/>
      <c r="AH5143" s="116"/>
      <c r="AI5143" s="116"/>
    </row>
    <row r="5144" spans="27:35" ht="18">
      <c r="AA5144" s="116"/>
      <c r="AB5144" s="87"/>
      <c r="AC5144" s="116"/>
      <c r="AD5144" s="116"/>
      <c r="AE5144" s="116"/>
      <c r="AF5144" s="116"/>
      <c r="AG5144" s="116"/>
      <c r="AH5144" s="116"/>
      <c r="AI5144" s="116"/>
    </row>
    <row r="5145" spans="27:35" ht="18">
      <c r="AA5145" s="116"/>
      <c r="AB5145" s="87"/>
      <c r="AC5145" s="116"/>
      <c r="AD5145" s="116"/>
      <c r="AE5145" s="116"/>
      <c r="AF5145" s="116"/>
      <c r="AG5145" s="116"/>
      <c r="AH5145" s="116"/>
      <c r="AI5145" s="116"/>
    </row>
    <row r="5146" spans="27:35" ht="18">
      <c r="AA5146" s="116"/>
      <c r="AB5146" s="87"/>
      <c r="AC5146" s="116"/>
      <c r="AD5146" s="116"/>
      <c r="AE5146" s="116"/>
      <c r="AF5146" s="116"/>
      <c r="AG5146" s="116"/>
      <c r="AH5146" s="116"/>
      <c r="AI5146" s="116"/>
    </row>
    <row r="5147" spans="27:35" ht="18">
      <c r="AA5147" s="116"/>
      <c r="AB5147" s="87"/>
      <c r="AC5147" s="116"/>
      <c r="AD5147" s="116"/>
      <c r="AE5147" s="116"/>
      <c r="AF5147" s="116"/>
      <c r="AG5147" s="116"/>
      <c r="AH5147" s="116"/>
      <c r="AI5147" s="116"/>
    </row>
    <row r="5148" spans="27:35" ht="18">
      <c r="AA5148" s="116"/>
      <c r="AB5148" s="87"/>
      <c r="AC5148" s="116"/>
      <c r="AD5148" s="116"/>
      <c r="AE5148" s="116"/>
      <c r="AF5148" s="116"/>
      <c r="AG5148" s="116"/>
      <c r="AH5148" s="116"/>
      <c r="AI5148" s="116"/>
    </row>
    <row r="5149" spans="27:35" ht="18">
      <c r="AA5149" s="116"/>
      <c r="AB5149" s="87"/>
      <c r="AC5149" s="116"/>
      <c r="AD5149" s="116"/>
      <c r="AE5149" s="116"/>
      <c r="AF5149" s="116"/>
      <c r="AG5149" s="116"/>
      <c r="AH5149" s="116"/>
      <c r="AI5149" s="116"/>
    </row>
    <row r="5150" spans="27:35" ht="18">
      <c r="AA5150" s="116"/>
      <c r="AB5150" s="87"/>
      <c r="AC5150" s="116"/>
      <c r="AD5150" s="116"/>
      <c r="AE5150" s="116"/>
      <c r="AF5150" s="116"/>
      <c r="AG5150" s="116"/>
      <c r="AH5150" s="116"/>
      <c r="AI5150" s="116"/>
    </row>
    <row r="5151" spans="27:35" ht="18">
      <c r="AA5151" s="116"/>
      <c r="AB5151" s="87"/>
      <c r="AC5151" s="116"/>
      <c r="AD5151" s="116"/>
      <c r="AE5151" s="116"/>
      <c r="AF5151" s="116"/>
      <c r="AG5151" s="116"/>
      <c r="AH5151" s="116"/>
      <c r="AI5151" s="116"/>
    </row>
    <row r="5152" spans="27:35" ht="18">
      <c r="AA5152" s="116"/>
      <c r="AB5152" s="87"/>
      <c r="AC5152" s="116"/>
      <c r="AD5152" s="116"/>
      <c r="AE5152" s="116"/>
      <c r="AF5152" s="116"/>
      <c r="AG5152" s="116"/>
      <c r="AH5152" s="116"/>
      <c r="AI5152" s="116"/>
    </row>
    <row r="5153" spans="27:35" ht="18">
      <c r="AA5153" s="116"/>
      <c r="AB5153" s="87"/>
      <c r="AC5153" s="116"/>
      <c r="AD5153" s="116"/>
      <c r="AE5153" s="116"/>
      <c r="AF5153" s="116"/>
      <c r="AG5153" s="116"/>
      <c r="AH5153" s="116"/>
      <c r="AI5153" s="116"/>
    </row>
    <row r="5154" spans="27:35" ht="18">
      <c r="AA5154" s="116"/>
      <c r="AB5154" s="87"/>
      <c r="AC5154" s="116"/>
      <c r="AD5154" s="116"/>
      <c r="AE5154" s="116"/>
      <c r="AF5154" s="116"/>
      <c r="AG5154" s="116"/>
      <c r="AH5154" s="116"/>
      <c r="AI5154" s="116"/>
    </row>
    <row r="5155" spans="27:35" ht="18">
      <c r="AA5155" s="116"/>
      <c r="AB5155" s="87"/>
      <c r="AC5155" s="116"/>
      <c r="AD5155" s="116"/>
      <c r="AE5155" s="116"/>
      <c r="AF5155" s="116"/>
      <c r="AG5155" s="116"/>
      <c r="AH5155" s="116"/>
      <c r="AI5155" s="116"/>
    </row>
    <row r="5156" spans="27:35" ht="18">
      <c r="AA5156" s="116"/>
      <c r="AB5156" s="87"/>
      <c r="AC5156" s="116"/>
      <c r="AD5156" s="116"/>
      <c r="AE5156" s="116"/>
      <c r="AF5156" s="116"/>
      <c r="AG5156" s="116"/>
      <c r="AH5156" s="116"/>
      <c r="AI5156" s="116"/>
    </row>
    <row r="5157" spans="27:35" ht="18">
      <c r="AA5157" s="116"/>
      <c r="AB5157" s="87"/>
      <c r="AC5157" s="116"/>
      <c r="AD5157" s="116"/>
      <c r="AE5157" s="116"/>
      <c r="AF5157" s="116"/>
      <c r="AG5157" s="116"/>
      <c r="AH5157" s="116"/>
      <c r="AI5157" s="116"/>
    </row>
    <row r="5158" spans="27:35" ht="18">
      <c r="AA5158" s="116"/>
      <c r="AB5158" s="87"/>
      <c r="AC5158" s="116"/>
      <c r="AD5158" s="116"/>
      <c r="AE5158" s="116"/>
      <c r="AF5158" s="116"/>
      <c r="AG5158" s="116"/>
      <c r="AH5158" s="116"/>
      <c r="AI5158" s="116"/>
    </row>
    <row r="5159" spans="27:35" ht="18">
      <c r="AA5159" s="116"/>
      <c r="AB5159" s="87"/>
      <c r="AC5159" s="116"/>
      <c r="AD5159" s="116"/>
      <c r="AE5159" s="116"/>
      <c r="AF5159" s="116"/>
      <c r="AG5159" s="116"/>
      <c r="AH5159" s="116"/>
      <c r="AI5159" s="116"/>
    </row>
    <row r="5160" spans="27:35" ht="18">
      <c r="AA5160" s="116"/>
      <c r="AB5160" s="87"/>
      <c r="AC5160" s="116"/>
      <c r="AD5160" s="116"/>
      <c r="AE5160" s="116"/>
      <c r="AF5160" s="116"/>
      <c r="AG5160" s="116"/>
      <c r="AH5160" s="116"/>
      <c r="AI5160" s="116"/>
    </row>
    <row r="5161" spans="27:35" ht="18">
      <c r="AA5161" s="116"/>
      <c r="AB5161" s="87"/>
      <c r="AC5161" s="116"/>
      <c r="AD5161" s="116"/>
      <c r="AE5161" s="116"/>
      <c r="AF5161" s="116"/>
      <c r="AG5161" s="116"/>
      <c r="AH5161" s="116"/>
      <c r="AI5161" s="116"/>
    </row>
    <row r="5162" spans="27:35" ht="18">
      <c r="AA5162" s="116"/>
      <c r="AB5162" s="87"/>
      <c r="AC5162" s="116"/>
      <c r="AD5162" s="116"/>
      <c r="AE5162" s="116"/>
      <c r="AF5162" s="116"/>
      <c r="AG5162" s="116"/>
      <c r="AH5162" s="116"/>
      <c r="AI5162" s="116"/>
    </row>
    <row r="5163" spans="27:35" ht="18">
      <c r="AA5163" s="116"/>
      <c r="AB5163" s="87"/>
      <c r="AC5163" s="116"/>
      <c r="AD5163" s="116"/>
      <c r="AE5163" s="116"/>
      <c r="AF5163" s="116"/>
      <c r="AG5163" s="116"/>
      <c r="AH5163" s="116"/>
      <c r="AI5163" s="116"/>
    </row>
    <row r="5164" spans="27:35" ht="18">
      <c r="AA5164" s="116"/>
      <c r="AB5164" s="87"/>
      <c r="AC5164" s="116"/>
      <c r="AD5164" s="116"/>
      <c r="AE5164" s="116"/>
      <c r="AF5164" s="116"/>
      <c r="AG5164" s="116"/>
      <c r="AH5164" s="116"/>
      <c r="AI5164" s="116"/>
    </row>
    <row r="5165" spans="27:35" ht="18">
      <c r="AA5165" s="116"/>
      <c r="AB5165" s="87"/>
      <c r="AC5165" s="116"/>
      <c r="AD5165" s="116"/>
      <c r="AE5165" s="116"/>
      <c r="AF5165" s="116"/>
      <c r="AG5165" s="116"/>
      <c r="AH5165" s="116"/>
      <c r="AI5165" s="116"/>
    </row>
    <row r="5166" spans="27:35" ht="18">
      <c r="AA5166" s="116"/>
      <c r="AB5166" s="87"/>
      <c r="AC5166" s="116"/>
      <c r="AD5166" s="116"/>
      <c r="AE5166" s="116"/>
      <c r="AF5166" s="116"/>
      <c r="AG5166" s="116"/>
      <c r="AH5166" s="116"/>
      <c r="AI5166" s="116"/>
    </row>
    <row r="5167" spans="27:35" ht="18">
      <c r="AA5167" s="116"/>
      <c r="AB5167" s="87"/>
      <c r="AC5167" s="116"/>
      <c r="AD5167" s="116"/>
      <c r="AE5167" s="117"/>
      <c r="AF5167" s="116"/>
      <c r="AG5167" s="116"/>
      <c r="AH5167" s="116"/>
      <c r="AI5167" s="116"/>
    </row>
    <row r="5168" spans="27:35" ht="18">
      <c r="AA5168" s="116"/>
      <c r="AB5168" s="87"/>
      <c r="AC5168" s="116"/>
      <c r="AD5168" s="116"/>
      <c r="AE5168" s="117"/>
      <c r="AF5168" s="116"/>
      <c r="AG5168" s="116"/>
      <c r="AH5168" s="116"/>
      <c r="AI5168" s="116"/>
    </row>
    <row r="5169" spans="27:35" ht="18">
      <c r="AA5169" s="116"/>
      <c r="AB5169" s="87"/>
      <c r="AC5169" s="116"/>
      <c r="AD5169" s="116"/>
      <c r="AE5169" s="117"/>
      <c r="AF5169" s="116"/>
      <c r="AG5169" s="116"/>
      <c r="AH5169" s="116"/>
      <c r="AI5169" s="116"/>
    </row>
    <row r="5170" spans="27:35" ht="18">
      <c r="AA5170" s="116"/>
      <c r="AB5170" s="87"/>
      <c r="AC5170" s="116"/>
      <c r="AD5170" s="116"/>
      <c r="AE5170" s="117"/>
      <c r="AF5170" s="116"/>
      <c r="AG5170" s="116"/>
      <c r="AH5170" s="116"/>
      <c r="AI5170" s="116"/>
    </row>
    <row r="5171" spans="27:35" ht="18">
      <c r="AA5171" s="116"/>
      <c r="AB5171" s="87"/>
      <c r="AC5171" s="116"/>
      <c r="AD5171" s="116"/>
      <c r="AE5171" s="117"/>
      <c r="AF5171" s="116"/>
      <c r="AG5171" s="116"/>
      <c r="AH5171" s="116"/>
      <c r="AI5171" s="116"/>
    </row>
    <row r="5172" spans="27:35" ht="18">
      <c r="AA5172" s="116"/>
      <c r="AB5172" s="87"/>
      <c r="AC5172" s="116"/>
      <c r="AD5172" s="116"/>
      <c r="AE5172" s="117"/>
      <c r="AF5172" s="116"/>
      <c r="AG5172" s="116"/>
      <c r="AH5172" s="116"/>
      <c r="AI5172" s="116"/>
    </row>
    <row r="5173" spans="27:35" ht="18">
      <c r="AA5173" s="116"/>
      <c r="AB5173" s="87"/>
      <c r="AC5173" s="116"/>
      <c r="AD5173" s="116"/>
      <c r="AE5173" s="117"/>
      <c r="AF5173" s="116"/>
      <c r="AG5173" s="116"/>
      <c r="AH5173" s="116"/>
      <c r="AI5173" s="116"/>
    </row>
    <row r="5174" spans="27:35" ht="18">
      <c r="AA5174" s="116"/>
      <c r="AB5174" s="87"/>
      <c r="AC5174" s="116"/>
      <c r="AD5174" s="116"/>
      <c r="AE5174" s="117"/>
      <c r="AF5174" s="116"/>
      <c r="AG5174" s="116"/>
      <c r="AH5174" s="116"/>
      <c r="AI5174" s="116"/>
    </row>
    <row r="5175" spans="27:35" ht="18">
      <c r="AA5175" s="116"/>
      <c r="AB5175" s="87"/>
      <c r="AC5175" s="116"/>
      <c r="AD5175" s="116"/>
      <c r="AE5175" s="117"/>
      <c r="AF5175" s="116"/>
      <c r="AG5175" s="116"/>
      <c r="AH5175" s="116"/>
      <c r="AI5175" s="116"/>
    </row>
    <row r="5176" spans="27:35" ht="18">
      <c r="AA5176" s="116"/>
      <c r="AB5176" s="87"/>
      <c r="AC5176" s="116"/>
      <c r="AD5176" s="116"/>
      <c r="AE5176" s="117"/>
      <c r="AF5176" s="116"/>
      <c r="AG5176" s="116"/>
      <c r="AH5176" s="116"/>
      <c r="AI5176" s="116"/>
    </row>
    <row r="5177" spans="27:35" ht="18">
      <c r="AA5177" s="116"/>
      <c r="AB5177" s="87"/>
      <c r="AC5177" s="116"/>
      <c r="AD5177" s="116"/>
      <c r="AE5177" s="117"/>
      <c r="AF5177" s="116"/>
      <c r="AG5177" s="116"/>
      <c r="AH5177" s="116"/>
      <c r="AI5177" s="116"/>
    </row>
    <row r="5178" spans="27:35" ht="18">
      <c r="AA5178" s="116"/>
      <c r="AB5178" s="87"/>
      <c r="AC5178" s="116"/>
      <c r="AD5178" s="116"/>
      <c r="AE5178" s="117"/>
      <c r="AF5178" s="116"/>
      <c r="AG5178" s="116"/>
      <c r="AH5178" s="116"/>
      <c r="AI5178" s="116"/>
    </row>
    <row r="5179" spans="27:35" ht="18">
      <c r="AA5179" s="116"/>
      <c r="AB5179" s="184"/>
      <c r="AC5179" s="116"/>
      <c r="AD5179" s="116"/>
      <c r="AE5179" s="116"/>
      <c r="AF5179" s="116"/>
      <c r="AG5179" s="116"/>
      <c r="AH5179" s="116"/>
      <c r="AI5179" s="116"/>
    </row>
    <row r="5180" spans="27:35" ht="18">
      <c r="AA5180" s="116"/>
      <c r="AB5180" s="87"/>
      <c r="AC5180" s="116"/>
      <c r="AD5180" s="116"/>
      <c r="AE5180" s="116"/>
      <c r="AF5180" s="116"/>
      <c r="AG5180" s="116"/>
      <c r="AH5180" s="116"/>
      <c r="AI5180" s="116"/>
    </row>
    <row r="5181" spans="27:35" ht="18">
      <c r="AA5181" s="116"/>
      <c r="AB5181" s="87"/>
      <c r="AC5181" s="116"/>
      <c r="AD5181" s="116"/>
      <c r="AE5181" s="116"/>
      <c r="AF5181" s="116"/>
      <c r="AG5181" s="116"/>
      <c r="AH5181" s="116"/>
      <c r="AI5181" s="116"/>
    </row>
    <row r="5182" spans="27:35" ht="18">
      <c r="AA5182" s="116"/>
      <c r="AB5182" s="87"/>
      <c r="AC5182" s="116"/>
      <c r="AD5182" s="116"/>
      <c r="AE5182" s="116"/>
      <c r="AF5182" s="116"/>
      <c r="AG5182" s="116"/>
      <c r="AH5182" s="116"/>
      <c r="AI5182" s="116"/>
    </row>
    <row r="5183" spans="27:35" ht="18">
      <c r="AA5183" s="116"/>
      <c r="AB5183" s="87"/>
      <c r="AC5183" s="116"/>
      <c r="AD5183" s="116"/>
      <c r="AE5183" s="116"/>
      <c r="AF5183" s="116"/>
      <c r="AG5183" s="116"/>
      <c r="AH5183" s="116"/>
      <c r="AI5183" s="116"/>
    </row>
    <row r="5184" spans="27:35" ht="18">
      <c r="AA5184" s="116"/>
      <c r="AB5184" s="87"/>
      <c r="AC5184" s="116"/>
      <c r="AD5184" s="116"/>
      <c r="AE5184" s="116"/>
      <c r="AF5184" s="116"/>
      <c r="AG5184" s="116"/>
      <c r="AH5184" s="116"/>
      <c r="AI5184" s="116"/>
    </row>
    <row r="5185" spans="27:35" ht="18">
      <c r="AA5185" s="116"/>
      <c r="AB5185" s="87"/>
      <c r="AC5185" s="116"/>
      <c r="AD5185" s="116"/>
      <c r="AE5185" s="116"/>
      <c r="AF5185" s="116"/>
      <c r="AG5185" s="116"/>
      <c r="AH5185" s="116"/>
      <c r="AI5185" s="116"/>
    </row>
    <row r="5186" spans="27:35" ht="18">
      <c r="AA5186" s="116"/>
      <c r="AB5186" s="87"/>
      <c r="AC5186" s="116"/>
      <c r="AD5186" s="116"/>
      <c r="AE5186" s="116"/>
      <c r="AF5186" s="116"/>
      <c r="AG5186" s="116"/>
      <c r="AH5186" s="116"/>
      <c r="AI5186" s="116"/>
    </row>
    <row r="5187" spans="27:35" ht="18">
      <c r="AA5187" s="116"/>
      <c r="AB5187" s="87"/>
      <c r="AC5187" s="116"/>
      <c r="AD5187" s="116"/>
      <c r="AE5187" s="116"/>
      <c r="AF5187" s="116"/>
      <c r="AG5187" s="116"/>
      <c r="AH5187" s="116"/>
      <c r="AI5187" s="116"/>
    </row>
    <row r="5188" spans="27:35" ht="18">
      <c r="AA5188" s="116"/>
      <c r="AB5188" s="87"/>
      <c r="AC5188" s="116"/>
      <c r="AD5188" s="116"/>
      <c r="AE5188" s="116"/>
      <c r="AF5188" s="116"/>
      <c r="AG5188" s="116"/>
      <c r="AH5188" s="116"/>
      <c r="AI5188" s="116"/>
    </row>
    <row r="5189" spans="27:35" ht="18">
      <c r="AA5189" s="116"/>
      <c r="AB5189" s="87"/>
      <c r="AC5189" s="116"/>
      <c r="AD5189" s="116"/>
      <c r="AE5189" s="116"/>
      <c r="AF5189" s="116"/>
      <c r="AG5189" s="116"/>
      <c r="AH5189" s="116"/>
      <c r="AI5189" s="116"/>
    </row>
    <row r="5190" spans="27:35" ht="18">
      <c r="AA5190" s="116"/>
      <c r="AB5190" s="87"/>
      <c r="AC5190" s="116"/>
      <c r="AD5190" s="116"/>
      <c r="AE5190" s="116"/>
      <c r="AF5190" s="116"/>
      <c r="AG5190" s="116"/>
      <c r="AH5190" s="116"/>
      <c r="AI5190" s="116"/>
    </row>
    <row r="5191" spans="27:35" ht="18">
      <c r="AA5191" s="116"/>
      <c r="AB5191" s="87"/>
      <c r="AC5191" s="116"/>
      <c r="AD5191" s="116"/>
      <c r="AE5191" s="116"/>
      <c r="AF5191" s="116"/>
      <c r="AG5191" s="116"/>
      <c r="AH5191" s="116"/>
      <c r="AI5191" s="116"/>
    </row>
    <row r="5192" spans="27:35" ht="18">
      <c r="AA5192" s="116"/>
      <c r="AB5192" s="87"/>
      <c r="AC5192" s="116"/>
      <c r="AD5192" s="116"/>
      <c r="AE5192" s="116"/>
      <c r="AF5192" s="116"/>
      <c r="AG5192" s="116"/>
      <c r="AH5192" s="116"/>
      <c r="AI5192" s="116"/>
    </row>
    <row r="5193" spans="27:35" ht="18">
      <c r="AA5193" s="116"/>
      <c r="AB5193" s="87"/>
      <c r="AC5193" s="116"/>
      <c r="AD5193" s="116"/>
      <c r="AE5193" s="116"/>
      <c r="AF5193" s="116"/>
      <c r="AG5193" s="116"/>
      <c r="AH5193" s="116"/>
      <c r="AI5193" s="116"/>
    </row>
    <row r="5194" spans="27:35" ht="18">
      <c r="AA5194" s="116"/>
      <c r="AB5194" s="87"/>
      <c r="AC5194" s="116"/>
      <c r="AD5194" s="116"/>
      <c r="AE5194" s="116"/>
      <c r="AF5194" s="116"/>
      <c r="AG5194" s="116"/>
      <c r="AH5194" s="116"/>
      <c r="AI5194" s="116"/>
    </row>
    <row r="5195" spans="27:35" ht="18">
      <c r="AA5195" s="116"/>
      <c r="AB5195" s="87"/>
      <c r="AC5195" s="116"/>
      <c r="AD5195" s="116"/>
      <c r="AE5195" s="116"/>
      <c r="AF5195" s="116"/>
      <c r="AG5195" s="116"/>
      <c r="AH5195" s="116"/>
      <c r="AI5195" s="116"/>
    </row>
    <row r="5196" spans="27:35" ht="18">
      <c r="AA5196" s="116"/>
      <c r="AB5196" s="87"/>
      <c r="AC5196" s="116"/>
      <c r="AD5196" s="116"/>
      <c r="AE5196" s="116"/>
      <c r="AF5196" s="116"/>
      <c r="AG5196" s="116"/>
      <c r="AH5196" s="116"/>
      <c r="AI5196" s="116"/>
    </row>
    <row r="5197" spans="27:35" ht="18">
      <c r="AA5197" s="116"/>
      <c r="AB5197" s="87"/>
      <c r="AC5197" s="116"/>
      <c r="AD5197" s="116"/>
      <c r="AE5197" s="116"/>
      <c r="AF5197" s="116"/>
      <c r="AG5197" s="116"/>
      <c r="AH5197" s="116"/>
      <c r="AI5197" s="116"/>
    </row>
    <row r="5198" spans="27:35" ht="18">
      <c r="AA5198" s="116"/>
      <c r="AB5198" s="184"/>
      <c r="AC5198" s="116"/>
      <c r="AD5198" s="116"/>
      <c r="AE5198" s="116"/>
      <c r="AF5198" s="116"/>
      <c r="AG5198" s="116"/>
      <c r="AH5198" s="116"/>
      <c r="AI5198" s="116"/>
    </row>
    <row r="5199" spans="27:35" ht="18">
      <c r="AA5199" s="116"/>
      <c r="AB5199" s="184"/>
      <c r="AC5199" s="116"/>
      <c r="AD5199" s="116"/>
      <c r="AE5199" s="116"/>
      <c r="AF5199" s="116"/>
      <c r="AG5199" s="116"/>
      <c r="AH5199" s="116"/>
      <c r="AI5199" s="116"/>
    </row>
    <row r="5200" spans="27:35" ht="18">
      <c r="AA5200" s="116"/>
      <c r="AB5200" s="87"/>
      <c r="AC5200" s="116"/>
      <c r="AD5200" s="116"/>
      <c r="AE5200" s="116"/>
      <c r="AF5200" s="116"/>
      <c r="AG5200" s="116"/>
      <c r="AH5200" s="116"/>
      <c r="AI5200" s="116"/>
    </row>
    <row r="5201" spans="27:35" ht="18">
      <c r="AA5201" s="116"/>
      <c r="AB5201" s="87"/>
      <c r="AC5201" s="116"/>
      <c r="AD5201" s="116"/>
      <c r="AE5201" s="116"/>
      <c r="AF5201" s="116"/>
      <c r="AG5201" s="116"/>
      <c r="AH5201" s="116"/>
      <c r="AI5201" s="116"/>
    </row>
    <row r="5202" spans="27:35" ht="18">
      <c r="AA5202" s="116"/>
      <c r="AB5202" s="87"/>
      <c r="AC5202" s="116"/>
      <c r="AD5202" s="116"/>
      <c r="AE5202" s="116"/>
      <c r="AF5202" s="116"/>
      <c r="AG5202" s="116"/>
      <c r="AH5202" s="116"/>
      <c r="AI5202" s="116"/>
    </row>
    <row r="5203" spans="27:35" ht="18">
      <c r="AA5203" s="116"/>
      <c r="AB5203" s="184"/>
      <c r="AC5203" s="116"/>
      <c r="AD5203" s="116"/>
      <c r="AE5203" s="116"/>
      <c r="AF5203" s="116"/>
      <c r="AG5203" s="116"/>
      <c r="AH5203" s="116"/>
      <c r="AI5203" s="116"/>
    </row>
    <row r="5204" spans="27:35" ht="18">
      <c r="AA5204" s="116"/>
      <c r="AB5204" s="184"/>
      <c r="AC5204" s="116"/>
      <c r="AD5204" s="116"/>
      <c r="AE5204" s="116"/>
      <c r="AF5204" s="116"/>
      <c r="AG5204" s="116"/>
      <c r="AH5204" s="116"/>
      <c r="AI5204" s="116"/>
    </row>
    <row r="5205" spans="27:35" ht="18">
      <c r="AA5205" s="116"/>
      <c r="AB5205" s="87"/>
      <c r="AC5205" s="116"/>
      <c r="AD5205" s="116"/>
      <c r="AE5205" s="116"/>
      <c r="AF5205" s="116"/>
      <c r="AG5205" s="116"/>
      <c r="AH5205" s="116"/>
      <c r="AI5205" s="116"/>
    </row>
    <row r="5206" spans="27:35" ht="18">
      <c r="AA5206" s="116"/>
      <c r="AB5206" s="87"/>
      <c r="AC5206" s="116"/>
      <c r="AD5206" s="116"/>
      <c r="AE5206" s="116"/>
      <c r="AF5206" s="116"/>
      <c r="AG5206" s="116"/>
      <c r="AH5206" s="116"/>
      <c r="AI5206" s="116"/>
    </row>
    <row r="5207" spans="27:35" ht="18">
      <c r="AA5207" s="116"/>
      <c r="AB5207" s="87"/>
      <c r="AC5207" s="116"/>
      <c r="AD5207" s="116"/>
      <c r="AE5207" s="116"/>
      <c r="AF5207" s="116"/>
      <c r="AG5207" s="116"/>
      <c r="AH5207" s="116"/>
      <c r="AI5207" s="116"/>
    </row>
    <row r="5208" spans="27:35" ht="18">
      <c r="AA5208" s="116"/>
      <c r="AB5208" s="87"/>
      <c r="AC5208" s="116"/>
      <c r="AD5208" s="116"/>
      <c r="AE5208" s="116"/>
      <c r="AF5208" s="116"/>
      <c r="AG5208" s="116"/>
      <c r="AH5208" s="116"/>
      <c r="AI5208" s="116"/>
    </row>
    <row r="5209" spans="27:35" ht="18">
      <c r="AA5209" s="116"/>
      <c r="AB5209" s="87"/>
      <c r="AC5209" s="116"/>
      <c r="AD5209" s="116"/>
      <c r="AE5209" s="116"/>
      <c r="AF5209" s="116"/>
      <c r="AG5209" s="116"/>
      <c r="AH5209" s="116"/>
      <c r="AI5209" s="116"/>
    </row>
    <row r="5210" spans="27:35" ht="18">
      <c r="AA5210" s="116"/>
      <c r="AB5210" s="184"/>
      <c r="AC5210" s="116"/>
      <c r="AD5210" s="116"/>
      <c r="AE5210" s="116"/>
      <c r="AF5210" s="116"/>
      <c r="AG5210" s="116"/>
      <c r="AH5210" s="116"/>
      <c r="AI5210" s="116"/>
    </row>
    <row r="5211" spans="27:35" ht="18">
      <c r="AA5211" s="116"/>
      <c r="AB5211" s="87"/>
      <c r="AC5211" s="116"/>
      <c r="AD5211" s="116"/>
      <c r="AE5211" s="116"/>
      <c r="AF5211" s="116"/>
      <c r="AG5211" s="116"/>
      <c r="AH5211" s="116"/>
      <c r="AI5211" s="116"/>
    </row>
    <row r="5212" spans="27:35" ht="18">
      <c r="AA5212" s="116"/>
      <c r="AB5212" s="87"/>
      <c r="AC5212" s="116"/>
      <c r="AD5212" s="116"/>
      <c r="AE5212" s="116"/>
      <c r="AF5212" s="116"/>
      <c r="AG5212" s="116"/>
      <c r="AH5212" s="116"/>
      <c r="AI5212" s="116"/>
    </row>
    <row r="5213" spans="27:35" ht="18">
      <c r="AA5213" s="116"/>
      <c r="AB5213" s="87"/>
      <c r="AC5213" s="116"/>
      <c r="AD5213" s="116"/>
      <c r="AE5213" s="116"/>
      <c r="AF5213" s="116"/>
      <c r="AG5213" s="116"/>
      <c r="AH5213" s="116"/>
      <c r="AI5213" s="116"/>
    </row>
    <row r="5214" spans="27:35" ht="18">
      <c r="AA5214" s="116"/>
      <c r="AB5214" s="87"/>
      <c r="AC5214" s="116"/>
      <c r="AD5214" s="116"/>
      <c r="AE5214" s="116"/>
      <c r="AF5214" s="116"/>
      <c r="AG5214" s="116"/>
      <c r="AH5214" s="116"/>
      <c r="AI5214" s="116"/>
    </row>
    <row r="5215" spans="27:35" ht="18">
      <c r="AA5215" s="116"/>
      <c r="AB5215" s="87"/>
      <c r="AC5215" s="116"/>
      <c r="AD5215" s="116"/>
      <c r="AE5215" s="116"/>
      <c r="AF5215" s="116"/>
      <c r="AG5215" s="116"/>
      <c r="AH5215" s="116"/>
      <c r="AI5215" s="116"/>
    </row>
    <row r="5216" spans="27:35" ht="18">
      <c r="AA5216" s="116"/>
      <c r="AB5216" s="87"/>
      <c r="AC5216" s="116"/>
      <c r="AD5216" s="116"/>
      <c r="AE5216" s="116"/>
      <c r="AF5216" s="116"/>
      <c r="AG5216" s="116"/>
      <c r="AH5216" s="116"/>
      <c r="AI5216" s="116"/>
    </row>
    <row r="5217" spans="27:35" ht="18">
      <c r="AA5217" s="116"/>
      <c r="AB5217" s="87"/>
      <c r="AC5217" s="116"/>
      <c r="AD5217" s="116"/>
      <c r="AE5217" s="116"/>
      <c r="AF5217" s="116"/>
      <c r="AG5217" s="116"/>
      <c r="AH5217" s="116"/>
      <c r="AI5217" s="116"/>
    </row>
    <row r="5218" spans="27:35" ht="18">
      <c r="AA5218" s="116"/>
      <c r="AB5218" s="87"/>
      <c r="AC5218" s="116"/>
      <c r="AD5218" s="116"/>
      <c r="AE5218" s="116"/>
      <c r="AF5218" s="116"/>
      <c r="AG5218" s="116"/>
      <c r="AH5218" s="116"/>
      <c r="AI5218" s="116"/>
    </row>
    <row r="5219" spans="27:35" ht="18">
      <c r="AA5219" s="116"/>
      <c r="AB5219" s="87"/>
      <c r="AC5219" s="116"/>
      <c r="AD5219" s="116"/>
      <c r="AE5219" s="116"/>
      <c r="AF5219" s="116"/>
      <c r="AG5219" s="116"/>
      <c r="AH5219" s="116"/>
      <c r="AI5219" s="116"/>
    </row>
    <row r="5220" spans="27:35" ht="18">
      <c r="AA5220" s="116"/>
      <c r="AB5220" s="87"/>
      <c r="AC5220" s="116"/>
      <c r="AD5220" s="116"/>
      <c r="AE5220" s="116"/>
      <c r="AF5220" s="116"/>
      <c r="AG5220" s="116"/>
      <c r="AH5220" s="116"/>
      <c r="AI5220" s="116"/>
    </row>
    <row r="5221" spans="27:35" ht="18">
      <c r="AA5221" s="116"/>
      <c r="AB5221" s="87"/>
      <c r="AC5221" s="116"/>
      <c r="AD5221" s="116"/>
      <c r="AE5221" s="116"/>
      <c r="AF5221" s="116"/>
      <c r="AG5221" s="116"/>
      <c r="AH5221" s="116"/>
      <c r="AI5221" s="116"/>
    </row>
    <row r="5222" spans="27:35" ht="18">
      <c r="AA5222" s="116"/>
      <c r="AB5222" s="87"/>
      <c r="AC5222" s="116"/>
      <c r="AD5222" s="116"/>
      <c r="AE5222" s="116"/>
      <c r="AF5222" s="116"/>
      <c r="AG5222" s="116"/>
      <c r="AH5222" s="116"/>
      <c r="AI5222" s="116"/>
    </row>
    <row r="5223" spans="27:35" ht="18">
      <c r="AA5223" s="116"/>
      <c r="AB5223" s="87"/>
      <c r="AC5223" s="116"/>
      <c r="AD5223" s="116"/>
      <c r="AE5223" s="116"/>
      <c r="AF5223" s="116"/>
      <c r="AG5223" s="116"/>
      <c r="AH5223" s="116"/>
      <c r="AI5223" s="116"/>
    </row>
    <row r="5224" spans="27:35" ht="18">
      <c r="AA5224" s="116"/>
      <c r="AB5224" s="184"/>
      <c r="AC5224" s="116"/>
      <c r="AD5224" s="116"/>
      <c r="AE5224" s="116"/>
      <c r="AF5224" s="116"/>
      <c r="AG5224" s="116"/>
      <c r="AH5224" s="116"/>
      <c r="AI5224" s="116"/>
    </row>
    <row r="5225" spans="27:35" ht="18">
      <c r="AA5225" s="116"/>
      <c r="AB5225" s="87"/>
      <c r="AC5225" s="116"/>
      <c r="AD5225" s="116"/>
      <c r="AE5225" s="116"/>
      <c r="AF5225" s="116"/>
      <c r="AG5225" s="116"/>
      <c r="AH5225" s="116"/>
      <c r="AI5225" s="116"/>
    </row>
    <row r="5226" spans="27:35" ht="18">
      <c r="AA5226" s="116"/>
      <c r="AB5226" s="87"/>
      <c r="AC5226" s="116"/>
      <c r="AD5226" s="116"/>
      <c r="AE5226" s="116"/>
      <c r="AF5226" s="116"/>
      <c r="AG5226" s="116"/>
      <c r="AH5226" s="116"/>
      <c r="AI5226" s="116"/>
    </row>
    <row r="5227" spans="27:35" ht="18">
      <c r="AA5227" s="116"/>
      <c r="AB5227" s="87"/>
      <c r="AC5227" s="116"/>
      <c r="AD5227" s="116"/>
      <c r="AE5227" s="116"/>
      <c r="AF5227" s="116"/>
      <c r="AG5227" s="116"/>
      <c r="AH5227" s="116"/>
      <c r="AI5227" s="116"/>
    </row>
    <row r="5228" spans="27:35" ht="18">
      <c r="AA5228" s="116"/>
      <c r="AB5228" s="87"/>
      <c r="AC5228" s="116"/>
      <c r="AD5228" s="116"/>
      <c r="AE5228" s="116"/>
      <c r="AF5228" s="116"/>
      <c r="AG5228" s="116"/>
      <c r="AH5228" s="116"/>
      <c r="AI5228" s="116"/>
    </row>
    <row r="5229" spans="27:35" ht="18">
      <c r="AA5229" s="116"/>
      <c r="AB5229" s="87"/>
      <c r="AC5229" s="116"/>
      <c r="AD5229" s="116"/>
      <c r="AE5229" s="116"/>
      <c r="AF5229" s="116"/>
      <c r="AG5229" s="116"/>
      <c r="AH5229" s="116"/>
      <c r="AI5229" s="116"/>
    </row>
    <row r="5230" spans="27:35" ht="18">
      <c r="AA5230" s="116"/>
      <c r="AB5230" s="87"/>
      <c r="AC5230" s="116"/>
      <c r="AD5230" s="116"/>
      <c r="AE5230" s="116"/>
      <c r="AF5230" s="116"/>
      <c r="AG5230" s="116"/>
      <c r="AH5230" s="116"/>
      <c r="AI5230" s="116"/>
    </row>
    <row r="5231" spans="27:35" ht="18">
      <c r="AA5231" s="116"/>
      <c r="AB5231" s="87"/>
      <c r="AC5231" s="116"/>
      <c r="AD5231" s="116"/>
      <c r="AE5231" s="116"/>
      <c r="AF5231" s="116"/>
      <c r="AG5231" s="116"/>
      <c r="AH5231" s="116"/>
      <c r="AI5231" s="116"/>
    </row>
    <row r="5232" spans="27:35" ht="18">
      <c r="AA5232" s="116"/>
      <c r="AB5232" s="87"/>
      <c r="AC5232" s="116"/>
      <c r="AD5232" s="116"/>
      <c r="AE5232" s="116"/>
      <c r="AF5232" s="116"/>
      <c r="AG5232" s="116"/>
      <c r="AH5232" s="116"/>
      <c r="AI5232" s="116"/>
    </row>
    <row r="5233" spans="27:35" ht="18">
      <c r="AA5233" s="116"/>
      <c r="AB5233" s="87"/>
      <c r="AC5233" s="116"/>
      <c r="AD5233" s="116"/>
      <c r="AE5233" s="116"/>
      <c r="AF5233" s="116"/>
      <c r="AG5233" s="116"/>
      <c r="AH5233" s="116"/>
      <c r="AI5233" s="116"/>
    </row>
    <row r="5234" spans="27:35" ht="18">
      <c r="AA5234" s="116"/>
      <c r="AB5234" s="87"/>
      <c r="AC5234" s="116"/>
      <c r="AD5234" s="116"/>
      <c r="AE5234" s="116"/>
      <c r="AF5234" s="116"/>
      <c r="AG5234" s="116"/>
      <c r="AH5234" s="116"/>
      <c r="AI5234" s="116"/>
    </row>
    <row r="5235" spans="27:35" ht="18">
      <c r="AA5235" s="116"/>
      <c r="AB5235" s="87"/>
      <c r="AC5235" s="116"/>
      <c r="AD5235" s="116"/>
      <c r="AE5235" s="116"/>
      <c r="AF5235" s="116"/>
      <c r="AG5235" s="116"/>
      <c r="AH5235" s="116"/>
      <c r="AI5235" s="116"/>
    </row>
    <row r="5236" spans="27:35" ht="18">
      <c r="AA5236" s="116"/>
      <c r="AB5236" s="87"/>
      <c r="AC5236" s="116"/>
      <c r="AD5236" s="116"/>
      <c r="AE5236" s="116"/>
      <c r="AF5236" s="116"/>
      <c r="AG5236" s="116"/>
      <c r="AH5236" s="116"/>
      <c r="AI5236" s="116"/>
    </row>
    <row r="5237" spans="27:35" ht="18">
      <c r="AA5237" s="116"/>
      <c r="AB5237" s="87"/>
      <c r="AC5237" s="116"/>
      <c r="AD5237" s="116"/>
      <c r="AE5237" s="116"/>
      <c r="AF5237" s="116"/>
      <c r="AG5237" s="116"/>
      <c r="AH5237" s="116"/>
      <c r="AI5237" s="116"/>
    </row>
    <row r="5238" spans="27:35" ht="18">
      <c r="AA5238" s="116"/>
      <c r="AB5238" s="184"/>
      <c r="AC5238" s="116"/>
      <c r="AD5238" s="116"/>
      <c r="AE5238" s="116"/>
      <c r="AF5238" s="116"/>
      <c r="AG5238" s="116"/>
      <c r="AH5238" s="116"/>
      <c r="AI5238" s="116"/>
    </row>
    <row r="5239" spans="27:35" ht="18">
      <c r="AA5239" s="116"/>
      <c r="AB5239" s="87"/>
      <c r="AC5239" s="116"/>
      <c r="AD5239" s="116"/>
      <c r="AE5239" s="116"/>
      <c r="AF5239" s="116"/>
      <c r="AG5239" s="116"/>
      <c r="AH5239" s="116"/>
      <c r="AI5239" s="116"/>
    </row>
    <row r="5240" spans="27:35" ht="18">
      <c r="AA5240" s="116"/>
      <c r="AB5240" s="87"/>
      <c r="AC5240" s="116"/>
      <c r="AD5240" s="116"/>
      <c r="AE5240" s="116"/>
      <c r="AF5240" s="116"/>
      <c r="AG5240" s="116"/>
      <c r="AH5240" s="116"/>
      <c r="AI5240" s="116"/>
    </row>
    <row r="5241" spans="27:35" ht="18">
      <c r="AA5241" s="116"/>
      <c r="AB5241" s="87"/>
      <c r="AC5241" s="116"/>
      <c r="AD5241" s="116"/>
      <c r="AE5241" s="116"/>
      <c r="AF5241" s="116"/>
      <c r="AG5241" s="116"/>
      <c r="AH5241" s="116"/>
      <c r="AI5241" s="116"/>
    </row>
    <row r="5242" spans="27:35" ht="18">
      <c r="AA5242" s="116"/>
      <c r="AB5242" s="87"/>
      <c r="AC5242" s="116"/>
      <c r="AD5242" s="116"/>
      <c r="AE5242" s="116"/>
      <c r="AF5242" s="116"/>
      <c r="AG5242" s="116"/>
      <c r="AH5242" s="116"/>
      <c r="AI5242" s="116"/>
    </row>
    <row r="5243" spans="27:35" ht="18">
      <c r="AA5243" s="116"/>
      <c r="AB5243" s="87"/>
      <c r="AC5243" s="116"/>
      <c r="AD5243" s="116"/>
      <c r="AE5243" s="116"/>
      <c r="AF5243" s="116"/>
      <c r="AG5243" s="116"/>
      <c r="AH5243" s="116"/>
      <c r="AI5243" s="116"/>
    </row>
    <row r="5244" spans="27:35" ht="18">
      <c r="AA5244" s="116"/>
      <c r="AB5244" s="87"/>
      <c r="AC5244" s="116"/>
      <c r="AD5244" s="116"/>
      <c r="AE5244" s="116"/>
      <c r="AF5244" s="116"/>
      <c r="AG5244" s="116"/>
      <c r="AH5244" s="116"/>
      <c r="AI5244" s="116"/>
    </row>
    <row r="5245" spans="27:35" ht="18">
      <c r="AA5245" s="116"/>
      <c r="AB5245" s="87"/>
      <c r="AC5245" s="116"/>
      <c r="AD5245" s="116"/>
      <c r="AE5245" s="116"/>
      <c r="AF5245" s="116"/>
      <c r="AG5245" s="116"/>
      <c r="AH5245" s="116"/>
      <c r="AI5245" s="116"/>
    </row>
    <row r="5246" spans="27:35" ht="18">
      <c r="AA5246" s="116"/>
      <c r="AB5246" s="87"/>
      <c r="AC5246" s="116"/>
      <c r="AD5246" s="116"/>
      <c r="AE5246" s="116"/>
      <c r="AF5246" s="116"/>
      <c r="AG5246" s="116"/>
      <c r="AH5246" s="116"/>
      <c r="AI5246" s="116"/>
    </row>
    <row r="5247" spans="27:35" ht="18">
      <c r="AA5247" s="116"/>
      <c r="AB5247" s="87"/>
      <c r="AC5247" s="116"/>
      <c r="AD5247" s="116"/>
      <c r="AE5247" s="116"/>
      <c r="AF5247" s="116"/>
      <c r="AG5247" s="116"/>
      <c r="AH5247" s="116"/>
      <c r="AI5247" s="116"/>
    </row>
    <row r="5248" spans="27:35" ht="18">
      <c r="AA5248" s="116"/>
      <c r="AB5248" s="184"/>
      <c r="AC5248" s="116"/>
      <c r="AD5248" s="116"/>
      <c r="AE5248" s="116"/>
      <c r="AF5248" s="116"/>
      <c r="AG5248" s="116"/>
      <c r="AH5248" s="116"/>
      <c r="AI5248" s="116"/>
    </row>
    <row r="5249" spans="27:35" ht="18">
      <c r="AA5249" s="116"/>
      <c r="AB5249" s="87"/>
      <c r="AC5249" s="116"/>
      <c r="AD5249" s="116"/>
      <c r="AE5249" s="116"/>
      <c r="AF5249" s="116"/>
      <c r="AG5249" s="116"/>
      <c r="AH5249" s="116"/>
      <c r="AI5249" s="116"/>
    </row>
    <row r="5250" spans="27:35" ht="18">
      <c r="AA5250" s="116"/>
      <c r="AB5250" s="87"/>
      <c r="AC5250" s="116"/>
      <c r="AD5250" s="116"/>
      <c r="AE5250" s="116"/>
      <c r="AF5250" s="116"/>
      <c r="AG5250" s="116"/>
      <c r="AH5250" s="116"/>
      <c r="AI5250" s="116"/>
    </row>
    <row r="5251" spans="27:35" ht="18">
      <c r="AA5251" s="116"/>
      <c r="AB5251" s="87"/>
      <c r="AC5251" s="116"/>
      <c r="AD5251" s="116"/>
      <c r="AE5251" s="116"/>
      <c r="AF5251" s="116"/>
      <c r="AG5251" s="116"/>
      <c r="AH5251" s="116"/>
      <c r="AI5251" s="116"/>
    </row>
    <row r="5252" spans="27:35" ht="18">
      <c r="AA5252" s="116"/>
      <c r="AB5252" s="87"/>
      <c r="AC5252" s="116"/>
      <c r="AD5252" s="116"/>
      <c r="AE5252" s="116"/>
      <c r="AF5252" s="116"/>
      <c r="AG5252" s="116"/>
      <c r="AH5252" s="116"/>
      <c r="AI5252" s="116"/>
    </row>
    <row r="5253" spans="27:35" ht="18">
      <c r="AA5253" s="116"/>
      <c r="AB5253" s="87"/>
      <c r="AC5253" s="116"/>
      <c r="AD5253" s="116"/>
      <c r="AE5253" s="116"/>
      <c r="AF5253" s="116"/>
      <c r="AG5253" s="116"/>
      <c r="AH5253" s="116"/>
      <c r="AI5253" s="116"/>
    </row>
    <row r="5254" spans="27:35" ht="18">
      <c r="AA5254" s="116"/>
      <c r="AB5254" s="87"/>
      <c r="AC5254" s="116"/>
      <c r="AD5254" s="116"/>
      <c r="AE5254" s="116"/>
      <c r="AF5254" s="116"/>
      <c r="AG5254" s="116"/>
      <c r="AH5254" s="116"/>
      <c r="AI5254" s="116"/>
    </row>
    <row r="5255" spans="27:35" ht="18">
      <c r="AA5255" s="116"/>
      <c r="AB5255" s="87"/>
      <c r="AC5255" s="116"/>
      <c r="AD5255" s="116"/>
      <c r="AE5255" s="116"/>
      <c r="AF5255" s="116"/>
      <c r="AG5255" s="116"/>
      <c r="AH5255" s="116"/>
      <c r="AI5255" s="116"/>
    </row>
    <row r="5256" spans="27:35" ht="18">
      <c r="AA5256" s="116"/>
      <c r="AB5256" s="87"/>
      <c r="AC5256" s="116"/>
      <c r="AD5256" s="116"/>
      <c r="AE5256" s="116"/>
      <c r="AF5256" s="116"/>
      <c r="AG5256" s="116"/>
      <c r="AH5256" s="116"/>
      <c r="AI5256" s="116"/>
    </row>
    <row r="5257" spans="27:35" ht="18">
      <c r="AA5257" s="116"/>
      <c r="AB5257" s="87"/>
      <c r="AC5257" s="116"/>
      <c r="AD5257" s="116"/>
      <c r="AE5257" s="116"/>
      <c r="AF5257" s="116"/>
      <c r="AG5257" s="116"/>
      <c r="AH5257" s="116"/>
      <c r="AI5257" s="116"/>
    </row>
    <row r="5258" spans="27:35" ht="18">
      <c r="AA5258" s="116"/>
      <c r="AB5258" s="87"/>
      <c r="AC5258" s="116"/>
      <c r="AD5258" s="116"/>
      <c r="AE5258" s="116"/>
      <c r="AF5258" s="116"/>
      <c r="AG5258" s="116"/>
      <c r="AH5258" s="116"/>
      <c r="AI5258" s="116"/>
    </row>
    <row r="5259" spans="27:35" ht="18">
      <c r="AA5259" s="116"/>
      <c r="AB5259" s="87"/>
      <c r="AC5259" s="116"/>
      <c r="AD5259" s="116"/>
      <c r="AE5259" s="116"/>
      <c r="AF5259" s="116"/>
      <c r="AG5259" s="116"/>
      <c r="AH5259" s="116"/>
      <c r="AI5259" s="116"/>
    </row>
    <row r="5260" spans="27:35" ht="18">
      <c r="AA5260" s="116"/>
      <c r="AB5260" s="87"/>
      <c r="AC5260" s="116"/>
      <c r="AD5260" s="116"/>
      <c r="AE5260" s="116"/>
      <c r="AF5260" s="116"/>
      <c r="AG5260" s="116"/>
      <c r="AH5260" s="116"/>
      <c r="AI5260" s="116"/>
    </row>
    <row r="5261" spans="27:35" ht="18">
      <c r="AA5261" s="116"/>
      <c r="AB5261" s="87"/>
      <c r="AC5261" s="116"/>
      <c r="AD5261" s="116"/>
      <c r="AE5261" s="116"/>
      <c r="AF5261" s="116"/>
      <c r="AG5261" s="116"/>
      <c r="AH5261" s="116"/>
      <c r="AI5261" s="116"/>
    </row>
    <row r="5262" spans="27:35" ht="18">
      <c r="AA5262" s="116"/>
      <c r="AB5262" s="87"/>
      <c r="AC5262" s="116"/>
      <c r="AD5262" s="116"/>
      <c r="AE5262" s="116"/>
      <c r="AF5262" s="116"/>
      <c r="AG5262" s="116"/>
      <c r="AH5262" s="116"/>
      <c r="AI5262" s="116"/>
    </row>
    <row r="5263" spans="27:35" ht="18">
      <c r="AA5263" s="116"/>
      <c r="AB5263" s="87"/>
      <c r="AC5263" s="116"/>
      <c r="AD5263" s="116"/>
      <c r="AE5263" s="116"/>
      <c r="AF5263" s="116"/>
      <c r="AG5263" s="116"/>
      <c r="AH5263" s="116"/>
      <c r="AI5263" s="116"/>
    </row>
    <row r="5264" spans="27:35" ht="18">
      <c r="AA5264" s="116"/>
      <c r="AB5264" s="87"/>
      <c r="AC5264" s="116"/>
      <c r="AD5264" s="116"/>
      <c r="AE5264" s="116"/>
      <c r="AF5264" s="116"/>
      <c r="AG5264" s="116"/>
      <c r="AH5264" s="116"/>
      <c r="AI5264" s="116"/>
    </row>
    <row r="5265" spans="27:35" ht="18">
      <c r="AA5265" s="116"/>
      <c r="AB5265" s="87"/>
      <c r="AC5265" s="116"/>
      <c r="AD5265" s="116"/>
      <c r="AE5265" s="116"/>
      <c r="AF5265" s="116"/>
      <c r="AG5265" s="116"/>
      <c r="AH5265" s="116"/>
      <c r="AI5265" s="116"/>
    </row>
    <row r="5266" spans="27:35" ht="18">
      <c r="AA5266" s="116"/>
      <c r="AB5266" s="87"/>
      <c r="AC5266" s="116"/>
      <c r="AD5266" s="116"/>
      <c r="AE5266" s="116"/>
      <c r="AF5266" s="116"/>
      <c r="AG5266" s="116"/>
      <c r="AH5266" s="116"/>
      <c r="AI5266" s="116"/>
    </row>
    <row r="5267" spans="27:35" ht="18">
      <c r="AA5267" s="116"/>
      <c r="AB5267" s="87"/>
      <c r="AC5267" s="116"/>
      <c r="AD5267" s="116"/>
      <c r="AE5267" s="116"/>
      <c r="AF5267" s="116"/>
      <c r="AG5267" s="116"/>
      <c r="AH5267" s="116"/>
      <c r="AI5267" s="116"/>
    </row>
    <row r="5268" spans="27:35" ht="18">
      <c r="AA5268" s="116"/>
      <c r="AB5268" s="87"/>
      <c r="AC5268" s="116"/>
      <c r="AD5268" s="116"/>
      <c r="AE5268" s="116"/>
      <c r="AF5268" s="116"/>
      <c r="AG5268" s="116"/>
      <c r="AH5268" s="116"/>
      <c r="AI5268" s="116"/>
    </row>
    <row r="5269" spans="27:35" ht="18">
      <c r="AA5269" s="116"/>
      <c r="AB5269" s="87"/>
      <c r="AC5269" s="116"/>
      <c r="AD5269" s="116"/>
      <c r="AE5269" s="116"/>
      <c r="AF5269" s="116"/>
      <c r="AG5269" s="116"/>
      <c r="AH5269" s="116"/>
      <c r="AI5269" s="116"/>
    </row>
    <row r="5270" spans="27:35" ht="18">
      <c r="AA5270" s="116"/>
      <c r="AB5270" s="87"/>
      <c r="AC5270" s="116"/>
      <c r="AD5270" s="116"/>
      <c r="AE5270" s="116"/>
      <c r="AF5270" s="116"/>
      <c r="AG5270" s="116"/>
      <c r="AH5270" s="116"/>
      <c r="AI5270" s="116"/>
    </row>
    <row r="5271" spans="27:35" ht="18">
      <c r="AA5271" s="116"/>
      <c r="AB5271" s="87"/>
      <c r="AC5271" s="116"/>
      <c r="AD5271" s="116"/>
      <c r="AE5271" s="116"/>
      <c r="AF5271" s="116"/>
      <c r="AG5271" s="116"/>
      <c r="AH5271" s="116"/>
      <c r="AI5271" s="116"/>
    </row>
    <row r="5272" spans="27:35" ht="18">
      <c r="AA5272" s="116"/>
      <c r="AB5272" s="87"/>
      <c r="AC5272" s="116"/>
      <c r="AD5272" s="116"/>
      <c r="AE5272" s="116"/>
      <c r="AF5272" s="116"/>
      <c r="AG5272" s="116"/>
      <c r="AH5272" s="116"/>
      <c r="AI5272" s="116"/>
    </row>
    <row r="5273" spans="27:35" ht="18">
      <c r="AA5273" s="116"/>
      <c r="AB5273" s="87"/>
      <c r="AC5273" s="116"/>
      <c r="AD5273" s="116"/>
      <c r="AE5273" s="116"/>
      <c r="AF5273" s="116"/>
      <c r="AG5273" s="116"/>
      <c r="AH5273" s="116"/>
      <c r="AI5273" s="116"/>
    </row>
    <row r="5274" spans="27:35" ht="18">
      <c r="AA5274" s="116"/>
      <c r="AB5274" s="87"/>
      <c r="AC5274" s="116"/>
      <c r="AD5274" s="116"/>
      <c r="AE5274" s="116"/>
      <c r="AF5274" s="116"/>
      <c r="AG5274" s="116"/>
      <c r="AH5274" s="116"/>
      <c r="AI5274" s="116"/>
    </row>
    <row r="5275" spans="27:35" ht="18">
      <c r="AA5275" s="116"/>
      <c r="AB5275" s="87"/>
      <c r="AC5275" s="116"/>
      <c r="AD5275" s="116"/>
      <c r="AE5275" s="116"/>
      <c r="AF5275" s="116"/>
      <c r="AG5275" s="116"/>
      <c r="AH5275" s="116"/>
      <c r="AI5275" s="116"/>
    </row>
    <row r="5276" spans="27:35" ht="18">
      <c r="AA5276" s="116"/>
      <c r="AB5276" s="87"/>
      <c r="AC5276" s="116"/>
      <c r="AD5276" s="116"/>
      <c r="AE5276" s="116"/>
      <c r="AF5276" s="116"/>
      <c r="AG5276" s="116"/>
      <c r="AH5276" s="116"/>
      <c r="AI5276" s="116"/>
    </row>
    <row r="5277" spans="27:35" ht="18">
      <c r="AA5277" s="116"/>
      <c r="AB5277" s="87"/>
      <c r="AC5277" s="116"/>
      <c r="AD5277" s="116"/>
      <c r="AE5277" s="116"/>
      <c r="AF5277" s="116"/>
      <c r="AG5277" s="116"/>
      <c r="AH5277" s="116"/>
      <c r="AI5277" s="116"/>
    </row>
    <row r="5278" spans="27:35" ht="18">
      <c r="AA5278" s="116"/>
      <c r="AB5278" s="87"/>
      <c r="AC5278" s="116"/>
      <c r="AD5278" s="116"/>
      <c r="AE5278" s="116"/>
      <c r="AF5278" s="116"/>
      <c r="AG5278" s="116"/>
      <c r="AH5278" s="116"/>
      <c r="AI5278" s="116"/>
    </row>
    <row r="5279" spans="27:35" ht="18">
      <c r="AA5279" s="116"/>
      <c r="AB5279" s="87"/>
      <c r="AC5279" s="116"/>
      <c r="AD5279" s="116"/>
      <c r="AE5279" s="116"/>
      <c r="AF5279" s="116"/>
      <c r="AG5279" s="116"/>
      <c r="AH5279" s="116"/>
      <c r="AI5279" s="116"/>
    </row>
    <row r="5280" spans="27:35" ht="18">
      <c r="AA5280" s="116"/>
      <c r="AB5280" s="87"/>
      <c r="AC5280" s="116"/>
      <c r="AD5280" s="116"/>
      <c r="AE5280" s="116"/>
      <c r="AF5280" s="116"/>
      <c r="AG5280" s="116"/>
      <c r="AH5280" s="116"/>
      <c r="AI5280" s="116"/>
    </row>
    <row r="5281" spans="27:35" ht="18">
      <c r="AA5281" s="116"/>
      <c r="AB5281" s="87"/>
      <c r="AC5281" s="116"/>
      <c r="AD5281" s="116"/>
      <c r="AE5281" s="116"/>
      <c r="AF5281" s="116"/>
      <c r="AG5281" s="116"/>
      <c r="AH5281" s="116"/>
      <c r="AI5281" s="116"/>
    </row>
    <row r="5282" spans="27:35" ht="18">
      <c r="AA5282" s="116"/>
      <c r="AB5282" s="87"/>
      <c r="AC5282" s="116"/>
      <c r="AD5282" s="116"/>
      <c r="AE5282" s="116"/>
      <c r="AF5282" s="116"/>
      <c r="AG5282" s="116"/>
      <c r="AH5282" s="116"/>
      <c r="AI5282" s="116"/>
    </row>
    <row r="5283" spans="27:35" ht="18">
      <c r="AA5283" s="116"/>
      <c r="AB5283" s="87"/>
      <c r="AC5283" s="116"/>
      <c r="AD5283" s="116"/>
      <c r="AE5283" s="116"/>
      <c r="AF5283" s="116"/>
      <c r="AG5283" s="116"/>
      <c r="AH5283" s="116"/>
      <c r="AI5283" s="116"/>
    </row>
    <row r="5284" spans="27:35" ht="18">
      <c r="AA5284" s="116"/>
      <c r="AB5284" s="87"/>
      <c r="AC5284" s="116"/>
      <c r="AD5284" s="116"/>
      <c r="AE5284" s="116"/>
      <c r="AF5284" s="116"/>
      <c r="AG5284" s="116"/>
      <c r="AH5284" s="116"/>
      <c r="AI5284" s="116"/>
    </row>
    <row r="5285" spans="27:35" ht="18">
      <c r="AA5285" s="116"/>
      <c r="AB5285" s="87"/>
      <c r="AC5285" s="116"/>
      <c r="AD5285" s="116"/>
      <c r="AE5285" s="116"/>
      <c r="AF5285" s="116"/>
      <c r="AG5285" s="116"/>
      <c r="AH5285" s="116"/>
      <c r="AI5285" s="116"/>
    </row>
    <row r="5286" spans="27:35" ht="18">
      <c r="AA5286" s="116"/>
      <c r="AB5286" s="87"/>
      <c r="AC5286" s="116"/>
      <c r="AD5286" s="116"/>
      <c r="AE5286" s="116"/>
      <c r="AF5286" s="116"/>
      <c r="AG5286" s="116"/>
      <c r="AH5286" s="116"/>
      <c r="AI5286" s="116"/>
    </row>
    <row r="5287" spans="27:35" ht="18">
      <c r="AA5287" s="116"/>
      <c r="AB5287" s="87"/>
      <c r="AC5287" s="116"/>
      <c r="AD5287" s="116"/>
      <c r="AE5287" s="116"/>
      <c r="AF5287" s="116"/>
      <c r="AG5287" s="116"/>
      <c r="AH5287" s="116"/>
      <c r="AI5287" s="116"/>
    </row>
    <row r="5288" spans="27:35" ht="18">
      <c r="AA5288" s="116"/>
      <c r="AB5288" s="87"/>
      <c r="AC5288" s="116"/>
      <c r="AD5288" s="116"/>
      <c r="AE5288" s="116"/>
      <c r="AF5288" s="116"/>
      <c r="AG5288" s="116"/>
      <c r="AH5288" s="116"/>
      <c r="AI5288" s="116"/>
    </row>
    <row r="5289" spans="27:35" ht="18">
      <c r="AA5289" s="116"/>
      <c r="AB5289" s="87"/>
      <c r="AC5289" s="116"/>
      <c r="AD5289" s="116"/>
      <c r="AE5289" s="116"/>
      <c r="AF5289" s="116"/>
      <c r="AG5289" s="116"/>
      <c r="AH5289" s="116"/>
      <c r="AI5289" s="116"/>
    </row>
    <row r="5290" spans="27:35" ht="18">
      <c r="AA5290" s="116"/>
      <c r="AB5290" s="87"/>
      <c r="AC5290" s="116"/>
      <c r="AD5290" s="116"/>
      <c r="AE5290" s="116"/>
      <c r="AF5290" s="116"/>
      <c r="AG5290" s="116"/>
      <c r="AH5290" s="116"/>
      <c r="AI5290" s="116"/>
    </row>
    <row r="5291" spans="27:35" ht="18">
      <c r="AA5291" s="116"/>
      <c r="AB5291" s="87"/>
      <c r="AC5291" s="116"/>
      <c r="AD5291" s="116"/>
      <c r="AE5291" s="116"/>
      <c r="AF5291" s="116"/>
      <c r="AG5291" s="116"/>
      <c r="AH5291" s="116"/>
      <c r="AI5291" s="116"/>
    </row>
    <row r="5292" spans="27:35" ht="18">
      <c r="AA5292" s="116"/>
      <c r="AB5292" s="87"/>
      <c r="AC5292" s="116"/>
      <c r="AD5292" s="116"/>
      <c r="AE5292" s="116"/>
      <c r="AF5292" s="116"/>
      <c r="AG5292" s="116"/>
      <c r="AH5292" s="116"/>
      <c r="AI5292" s="116"/>
    </row>
    <row r="5293" spans="27:35" ht="18">
      <c r="AA5293" s="116"/>
      <c r="AB5293" s="87"/>
      <c r="AC5293" s="116"/>
      <c r="AD5293" s="116"/>
      <c r="AE5293" s="116"/>
      <c r="AF5293" s="116"/>
      <c r="AG5293" s="116"/>
      <c r="AH5293" s="116"/>
      <c r="AI5293" s="116"/>
    </row>
    <row r="5294" spans="27:35" ht="18">
      <c r="AA5294" s="116"/>
      <c r="AB5294" s="184"/>
      <c r="AC5294" s="116"/>
      <c r="AD5294" s="116"/>
      <c r="AE5294" s="116"/>
      <c r="AF5294" s="116"/>
      <c r="AG5294" s="116"/>
      <c r="AH5294" s="116"/>
      <c r="AI5294" s="116"/>
    </row>
    <row r="5295" spans="27:35" ht="18">
      <c r="AA5295" s="116"/>
      <c r="AB5295" s="184"/>
      <c r="AC5295" s="116"/>
      <c r="AD5295" s="116"/>
      <c r="AE5295" s="116"/>
      <c r="AF5295" s="116"/>
      <c r="AG5295" s="116"/>
      <c r="AH5295" s="116"/>
      <c r="AI5295" s="116"/>
    </row>
    <row r="5296" spans="27:35" ht="18">
      <c r="AA5296" s="116"/>
      <c r="AB5296" s="87"/>
      <c r="AC5296" s="116"/>
      <c r="AD5296" s="116"/>
      <c r="AE5296" s="116"/>
      <c r="AF5296" s="116"/>
      <c r="AG5296" s="116"/>
      <c r="AH5296" s="116"/>
      <c r="AI5296" s="116"/>
    </row>
    <row r="5297" spans="27:35" ht="18">
      <c r="AA5297" s="116"/>
      <c r="AB5297" s="87"/>
      <c r="AC5297" s="116"/>
      <c r="AD5297" s="116"/>
      <c r="AE5297" s="116"/>
      <c r="AF5297" s="116"/>
      <c r="AG5297" s="116"/>
      <c r="AH5297" s="116"/>
      <c r="AI5297" s="116"/>
    </row>
    <row r="5298" spans="27:35" ht="18">
      <c r="AA5298" s="116"/>
      <c r="AB5298" s="87"/>
      <c r="AC5298" s="116"/>
      <c r="AD5298" s="116"/>
      <c r="AE5298" s="116"/>
      <c r="AF5298" s="116"/>
      <c r="AG5298" s="116"/>
      <c r="AH5298" s="116"/>
      <c r="AI5298" s="116"/>
    </row>
    <row r="5299" spans="27:35" ht="18">
      <c r="AA5299" s="116"/>
      <c r="AB5299" s="87"/>
      <c r="AC5299" s="116"/>
      <c r="AD5299" s="116"/>
      <c r="AE5299" s="116"/>
      <c r="AF5299" s="116"/>
      <c r="AG5299" s="116"/>
      <c r="AH5299" s="116"/>
      <c r="AI5299" s="116"/>
    </row>
    <row r="5300" spans="27:35" ht="18">
      <c r="AA5300" s="116"/>
      <c r="AB5300" s="87"/>
      <c r="AC5300" s="116"/>
      <c r="AD5300" s="116"/>
      <c r="AE5300" s="116"/>
      <c r="AF5300" s="116"/>
      <c r="AG5300" s="116"/>
      <c r="AH5300" s="116"/>
      <c r="AI5300" s="116"/>
    </row>
    <row r="5301" spans="27:35" ht="18">
      <c r="AA5301" s="116"/>
      <c r="AB5301" s="87"/>
      <c r="AC5301" s="116"/>
      <c r="AD5301" s="116"/>
      <c r="AE5301" s="116"/>
      <c r="AF5301" s="116"/>
      <c r="AG5301" s="116"/>
      <c r="AH5301" s="116"/>
      <c r="AI5301" s="116"/>
    </row>
    <row r="5302" spans="27:35" ht="18">
      <c r="AA5302" s="116"/>
      <c r="AB5302" s="87"/>
      <c r="AC5302" s="116"/>
      <c r="AD5302" s="116"/>
      <c r="AE5302" s="116"/>
      <c r="AF5302" s="116"/>
      <c r="AG5302" s="116"/>
      <c r="AH5302" s="116"/>
      <c r="AI5302" s="116"/>
    </row>
    <row r="5303" spans="27:35" ht="18">
      <c r="AA5303" s="116"/>
      <c r="AB5303" s="87"/>
      <c r="AC5303" s="116"/>
      <c r="AD5303" s="116"/>
      <c r="AE5303" s="116"/>
      <c r="AF5303" s="116"/>
      <c r="AG5303" s="116"/>
      <c r="AH5303" s="116"/>
      <c r="AI5303" s="116"/>
    </row>
    <row r="5304" spans="27:35" ht="18">
      <c r="AA5304" s="116"/>
      <c r="AB5304" s="87"/>
      <c r="AC5304" s="116"/>
      <c r="AD5304" s="116"/>
      <c r="AE5304" s="116"/>
      <c r="AF5304" s="116"/>
      <c r="AG5304" s="116"/>
      <c r="AH5304" s="116"/>
      <c r="AI5304" s="116"/>
    </row>
    <row r="5305" spans="27:35" ht="18">
      <c r="AA5305" s="116"/>
      <c r="AB5305" s="87"/>
      <c r="AC5305" s="116"/>
      <c r="AD5305" s="116"/>
      <c r="AE5305" s="116"/>
      <c r="AF5305" s="116"/>
      <c r="AG5305" s="116"/>
      <c r="AH5305" s="116"/>
      <c r="AI5305" s="116"/>
    </row>
    <row r="5306" spans="27:35" ht="18">
      <c r="AA5306" s="116"/>
      <c r="AB5306" s="87"/>
      <c r="AC5306" s="116"/>
      <c r="AD5306" s="116"/>
      <c r="AE5306" s="116"/>
      <c r="AF5306" s="116"/>
      <c r="AG5306" s="116"/>
      <c r="AH5306" s="116"/>
      <c r="AI5306" s="116"/>
    </row>
    <row r="5307" spans="27:35" ht="18">
      <c r="AA5307" s="116"/>
      <c r="AB5307" s="87"/>
      <c r="AC5307" s="116"/>
      <c r="AD5307" s="116"/>
      <c r="AE5307" s="116"/>
      <c r="AF5307" s="116"/>
      <c r="AG5307" s="116"/>
      <c r="AH5307" s="116"/>
      <c r="AI5307" s="116"/>
    </row>
    <row r="5308" spans="27:35" ht="18">
      <c r="AA5308" s="116"/>
      <c r="AB5308" s="87"/>
      <c r="AC5308" s="116"/>
      <c r="AD5308" s="116"/>
      <c r="AE5308" s="116"/>
      <c r="AF5308" s="116"/>
      <c r="AG5308" s="116"/>
      <c r="AH5308" s="116"/>
      <c r="AI5308" s="116"/>
    </row>
    <row r="5309" spans="27:35" ht="18">
      <c r="AA5309" s="116"/>
      <c r="AB5309" s="87"/>
      <c r="AC5309" s="116"/>
      <c r="AD5309" s="116"/>
      <c r="AE5309" s="116"/>
      <c r="AF5309" s="116"/>
      <c r="AG5309" s="116"/>
      <c r="AH5309" s="116"/>
      <c r="AI5309" s="116"/>
    </row>
    <row r="5310" spans="27:35" ht="18">
      <c r="AA5310" s="116"/>
      <c r="AB5310" s="87"/>
      <c r="AC5310" s="116"/>
      <c r="AD5310" s="116"/>
      <c r="AE5310" s="116"/>
      <c r="AF5310" s="116"/>
      <c r="AG5310" s="116"/>
      <c r="AH5310" s="116"/>
      <c r="AI5310" s="116"/>
    </row>
    <row r="5311" spans="27:35" ht="18">
      <c r="AA5311" s="116"/>
      <c r="AB5311" s="87"/>
      <c r="AC5311" s="116"/>
      <c r="AD5311" s="116"/>
      <c r="AE5311" s="116"/>
      <c r="AF5311" s="116"/>
      <c r="AG5311" s="116"/>
      <c r="AH5311" s="116"/>
      <c r="AI5311" s="116"/>
    </row>
    <row r="5312" spans="27:35" ht="18">
      <c r="AA5312" s="116"/>
      <c r="AB5312" s="184"/>
      <c r="AC5312" s="116"/>
      <c r="AD5312" s="116"/>
      <c r="AE5312" s="116"/>
      <c r="AF5312" s="116"/>
      <c r="AG5312" s="116"/>
      <c r="AH5312" s="116"/>
      <c r="AI5312" s="116"/>
    </row>
    <row r="5313" spans="27:35" ht="18">
      <c r="AA5313" s="116"/>
      <c r="AB5313" s="184"/>
      <c r="AC5313" s="116"/>
      <c r="AD5313" s="116"/>
      <c r="AE5313" s="116"/>
      <c r="AF5313" s="116"/>
      <c r="AG5313" s="116"/>
      <c r="AH5313" s="116"/>
      <c r="AI5313" s="116"/>
    </row>
    <row r="5314" spans="27:35" ht="18">
      <c r="AA5314" s="116"/>
      <c r="AB5314" s="87"/>
      <c r="AC5314" s="116"/>
      <c r="AD5314" s="116"/>
      <c r="AE5314" s="116"/>
      <c r="AF5314" s="116"/>
      <c r="AG5314" s="116"/>
      <c r="AH5314" s="116"/>
      <c r="AI5314" s="116"/>
    </row>
    <row r="5315" spans="27:35" ht="18">
      <c r="AA5315" s="116"/>
      <c r="AB5315" s="87"/>
      <c r="AC5315" s="116"/>
      <c r="AD5315" s="116"/>
      <c r="AE5315" s="116"/>
      <c r="AF5315" s="116"/>
      <c r="AG5315" s="116"/>
      <c r="AH5315" s="116"/>
      <c r="AI5315" s="116"/>
    </row>
    <row r="5316" spans="27:35" ht="18">
      <c r="AA5316" s="116"/>
      <c r="AB5316" s="87"/>
      <c r="AC5316" s="116"/>
      <c r="AD5316" s="116"/>
      <c r="AE5316" s="116"/>
      <c r="AF5316" s="116"/>
      <c r="AG5316" s="116"/>
      <c r="AH5316" s="116"/>
      <c r="AI5316" s="116"/>
    </row>
    <row r="5317" spans="27:35" ht="18">
      <c r="AA5317" s="116"/>
      <c r="AB5317" s="87"/>
      <c r="AC5317" s="116"/>
      <c r="AD5317" s="116"/>
      <c r="AE5317" s="116"/>
      <c r="AF5317" s="116"/>
      <c r="AG5317" s="116"/>
      <c r="AH5317" s="116"/>
      <c r="AI5317" s="116"/>
    </row>
    <row r="5318" spans="27:35" ht="18">
      <c r="AA5318" s="116"/>
      <c r="AB5318" s="87"/>
      <c r="AC5318" s="116"/>
      <c r="AD5318" s="116"/>
      <c r="AE5318" s="116"/>
      <c r="AF5318" s="116"/>
      <c r="AG5318" s="116"/>
      <c r="AH5318" s="116"/>
      <c r="AI5318" s="116"/>
    </row>
    <row r="5319" spans="27:35" ht="18">
      <c r="AA5319" s="116"/>
      <c r="AB5319" s="87"/>
      <c r="AC5319" s="116"/>
      <c r="AD5319" s="116"/>
      <c r="AE5319" s="116"/>
      <c r="AF5319" s="116"/>
      <c r="AG5319" s="116"/>
      <c r="AH5319" s="116"/>
      <c r="AI5319" s="116"/>
    </row>
    <row r="5320" spans="27:35" ht="18">
      <c r="AA5320" s="116"/>
      <c r="AB5320" s="87"/>
      <c r="AC5320" s="116"/>
      <c r="AD5320" s="116"/>
      <c r="AE5320" s="116"/>
      <c r="AF5320" s="116"/>
      <c r="AG5320" s="116"/>
      <c r="AH5320" s="116"/>
      <c r="AI5320" s="116"/>
    </row>
    <row r="5321" spans="27:35" ht="18">
      <c r="AA5321" s="116"/>
      <c r="AB5321" s="87"/>
      <c r="AC5321" s="116"/>
      <c r="AD5321" s="116"/>
      <c r="AE5321" s="116"/>
      <c r="AF5321" s="116"/>
      <c r="AG5321" s="116"/>
      <c r="AH5321" s="116"/>
      <c r="AI5321" s="116"/>
    </row>
    <row r="5322" spans="27:35" ht="18">
      <c r="AA5322" s="116"/>
      <c r="AB5322" s="87"/>
      <c r="AC5322" s="116"/>
      <c r="AD5322" s="116"/>
      <c r="AE5322" s="116"/>
      <c r="AF5322" s="116"/>
      <c r="AG5322" s="116"/>
      <c r="AH5322" s="116"/>
      <c r="AI5322" s="116"/>
    </row>
    <row r="5323" spans="27:35" ht="18">
      <c r="AA5323" s="116"/>
      <c r="AB5323" s="87"/>
      <c r="AC5323" s="116"/>
      <c r="AD5323" s="116"/>
      <c r="AE5323" s="116"/>
      <c r="AF5323" s="116"/>
      <c r="AG5323" s="116"/>
      <c r="AH5323" s="116"/>
      <c r="AI5323" s="116"/>
    </row>
    <row r="5324" spans="27:35" ht="18">
      <c r="AA5324" s="116"/>
      <c r="AB5324" s="87"/>
      <c r="AC5324" s="116"/>
      <c r="AD5324" s="116"/>
      <c r="AE5324" s="116"/>
      <c r="AF5324" s="116"/>
      <c r="AG5324" s="116"/>
      <c r="AH5324" s="116"/>
      <c r="AI5324" s="116"/>
    </row>
    <row r="5325" spans="27:35" ht="18">
      <c r="AA5325" s="116"/>
      <c r="AB5325" s="87"/>
      <c r="AC5325" s="116"/>
      <c r="AD5325" s="116"/>
      <c r="AE5325" s="116"/>
      <c r="AF5325" s="116"/>
      <c r="AG5325" s="116"/>
      <c r="AH5325" s="116"/>
      <c r="AI5325" s="116"/>
    </row>
    <row r="5326" spans="27:35" ht="18">
      <c r="AA5326" s="116"/>
      <c r="AB5326" s="87"/>
      <c r="AC5326" s="116"/>
      <c r="AD5326" s="116"/>
      <c r="AE5326" s="116"/>
      <c r="AF5326" s="116"/>
      <c r="AG5326" s="116"/>
      <c r="AH5326" s="116"/>
      <c r="AI5326" s="116"/>
    </row>
    <row r="5327" spans="27:35" ht="18">
      <c r="AA5327" s="116"/>
      <c r="AB5327" s="87"/>
      <c r="AC5327" s="116"/>
      <c r="AD5327" s="116"/>
      <c r="AE5327" s="116"/>
      <c r="AF5327" s="116"/>
      <c r="AG5327" s="116"/>
      <c r="AH5327" s="116"/>
      <c r="AI5327" s="116"/>
    </row>
    <row r="5328" spans="27:35" ht="18">
      <c r="AA5328" s="116"/>
      <c r="AB5328" s="87"/>
      <c r="AC5328" s="116"/>
      <c r="AD5328" s="116"/>
      <c r="AE5328" s="116"/>
      <c r="AF5328" s="116"/>
      <c r="AG5328" s="116"/>
      <c r="AH5328" s="116"/>
      <c r="AI5328" s="116"/>
    </row>
    <row r="5329" spans="27:35" ht="18">
      <c r="AA5329" s="116"/>
      <c r="AB5329" s="87"/>
      <c r="AC5329" s="116"/>
      <c r="AD5329" s="116"/>
      <c r="AE5329" s="116"/>
      <c r="AF5329" s="116"/>
      <c r="AG5329" s="116"/>
      <c r="AH5329" s="116"/>
      <c r="AI5329" s="116"/>
    </row>
    <row r="5330" spans="27:35" ht="18">
      <c r="AA5330" s="116"/>
      <c r="AB5330" s="87"/>
      <c r="AC5330" s="116"/>
      <c r="AD5330" s="116"/>
      <c r="AE5330" s="116"/>
      <c r="AF5330" s="116"/>
      <c r="AG5330" s="116"/>
      <c r="AH5330" s="116"/>
      <c r="AI5330" s="116"/>
    </row>
    <row r="5331" spans="27:35" ht="18">
      <c r="AA5331" s="116"/>
      <c r="AB5331" s="87"/>
      <c r="AC5331" s="116"/>
      <c r="AD5331" s="116"/>
      <c r="AE5331" s="116"/>
      <c r="AF5331" s="116"/>
      <c r="AG5331" s="116"/>
      <c r="AH5331" s="116"/>
      <c r="AI5331" s="116"/>
    </row>
    <row r="5332" spans="27:35" ht="18">
      <c r="AA5332" s="116"/>
      <c r="AB5332" s="184"/>
      <c r="AC5332" s="116"/>
      <c r="AD5332" s="116"/>
      <c r="AE5332" s="116"/>
      <c r="AF5332" s="116"/>
      <c r="AG5332" s="116"/>
      <c r="AH5332" s="116"/>
      <c r="AI5332" s="116"/>
    </row>
    <row r="5333" spans="27:35" ht="18">
      <c r="AA5333" s="116"/>
      <c r="AB5333" s="87"/>
      <c r="AC5333" s="116"/>
      <c r="AD5333" s="116"/>
      <c r="AE5333" s="116"/>
      <c r="AF5333" s="116"/>
      <c r="AG5333" s="116"/>
      <c r="AH5333" s="116"/>
      <c r="AI5333" s="116"/>
    </row>
    <row r="5334" spans="27:35" ht="18">
      <c r="AA5334" s="116"/>
      <c r="AB5334" s="87"/>
      <c r="AC5334" s="116"/>
      <c r="AD5334" s="116"/>
      <c r="AE5334" s="116"/>
      <c r="AF5334" s="116"/>
      <c r="AG5334" s="116"/>
      <c r="AH5334" s="116"/>
      <c r="AI5334" s="116"/>
    </row>
    <row r="5335" spans="27:35" ht="18">
      <c r="AA5335" s="116"/>
      <c r="AB5335" s="87"/>
      <c r="AC5335" s="116"/>
      <c r="AD5335" s="116"/>
      <c r="AE5335" s="116"/>
      <c r="AF5335" s="116"/>
      <c r="AG5335" s="116"/>
      <c r="AH5335" s="116"/>
      <c r="AI5335" s="116"/>
    </row>
    <row r="5336" spans="27:35" ht="18">
      <c r="AA5336" s="116"/>
      <c r="AB5336" s="87"/>
      <c r="AC5336" s="116"/>
      <c r="AD5336" s="116"/>
      <c r="AE5336" s="116"/>
      <c r="AF5336" s="116"/>
      <c r="AG5336" s="116"/>
      <c r="AH5336" s="116"/>
      <c r="AI5336" s="116"/>
    </row>
    <row r="5337" spans="27:35" ht="18">
      <c r="AA5337" s="116"/>
      <c r="AB5337" s="87"/>
      <c r="AC5337" s="116"/>
      <c r="AD5337" s="116"/>
      <c r="AE5337" s="116"/>
      <c r="AF5337" s="116"/>
      <c r="AG5337" s="116"/>
      <c r="AH5337" s="116"/>
      <c r="AI5337" s="116"/>
    </row>
    <row r="5338" spans="27:35" ht="18">
      <c r="AA5338" s="116"/>
      <c r="AB5338" s="87"/>
      <c r="AC5338" s="116"/>
      <c r="AD5338" s="116"/>
      <c r="AE5338" s="116"/>
      <c r="AF5338" s="116"/>
      <c r="AG5338" s="116"/>
      <c r="AH5338" s="116"/>
      <c r="AI5338" s="116"/>
    </row>
    <row r="5339" spans="27:35" ht="18">
      <c r="AA5339" s="116"/>
      <c r="AB5339" s="87"/>
      <c r="AC5339" s="116"/>
      <c r="AD5339" s="116"/>
      <c r="AE5339" s="116"/>
      <c r="AF5339" s="116"/>
      <c r="AG5339" s="116"/>
      <c r="AH5339" s="116"/>
      <c r="AI5339" s="116"/>
    </row>
    <row r="5340" spans="27:35" ht="18">
      <c r="AA5340" s="116"/>
      <c r="AB5340" s="87"/>
      <c r="AC5340" s="116"/>
      <c r="AD5340" s="116"/>
      <c r="AE5340" s="116"/>
      <c r="AF5340" s="116"/>
      <c r="AG5340" s="116"/>
      <c r="AH5340" s="116"/>
      <c r="AI5340" s="116"/>
    </row>
    <row r="5341" spans="27:35" ht="18">
      <c r="AA5341" s="116"/>
      <c r="AB5341" s="87"/>
      <c r="AC5341" s="116"/>
      <c r="AD5341" s="116"/>
      <c r="AE5341" s="116"/>
      <c r="AF5341" s="116"/>
      <c r="AG5341" s="116"/>
      <c r="AH5341" s="116"/>
      <c r="AI5341" s="116"/>
    </row>
    <row r="5342" spans="27:35" ht="18">
      <c r="AA5342" s="116"/>
      <c r="AB5342" s="87"/>
      <c r="AC5342" s="116"/>
      <c r="AD5342" s="116"/>
      <c r="AE5342" s="116"/>
      <c r="AF5342" s="116"/>
      <c r="AG5342" s="116"/>
      <c r="AH5342" s="116"/>
      <c r="AI5342" s="116"/>
    </row>
    <row r="5343" spans="27:35" ht="18">
      <c r="AA5343" s="116"/>
      <c r="AB5343" s="87"/>
      <c r="AC5343" s="116"/>
      <c r="AD5343" s="116"/>
      <c r="AE5343" s="116"/>
      <c r="AF5343" s="116"/>
      <c r="AG5343" s="116"/>
      <c r="AH5343" s="116"/>
      <c r="AI5343" s="116"/>
    </row>
    <row r="5344" spans="27:35" ht="18">
      <c r="AA5344" s="116"/>
      <c r="AB5344" s="184"/>
      <c r="AC5344" s="116"/>
      <c r="AD5344" s="116"/>
      <c r="AE5344" s="116"/>
      <c r="AF5344" s="116"/>
      <c r="AG5344" s="116"/>
      <c r="AH5344" s="116"/>
      <c r="AI5344" s="116"/>
    </row>
    <row r="5345" spans="27:35" ht="18">
      <c r="AA5345" s="116"/>
      <c r="AB5345" s="184"/>
      <c r="AC5345" s="116"/>
      <c r="AD5345" s="116"/>
      <c r="AE5345" s="116"/>
      <c r="AF5345" s="116"/>
      <c r="AG5345" s="116"/>
      <c r="AH5345" s="116"/>
      <c r="AI5345" s="116"/>
    </row>
    <row r="5346" spans="27:35" ht="18">
      <c r="AA5346" s="116"/>
      <c r="AB5346" s="87"/>
      <c r="AC5346" s="116"/>
      <c r="AD5346" s="116"/>
      <c r="AE5346" s="116"/>
      <c r="AF5346" s="116"/>
      <c r="AG5346" s="116"/>
      <c r="AH5346" s="116"/>
      <c r="AI5346" s="116"/>
    </row>
    <row r="5347" spans="27:35" ht="18">
      <c r="AA5347" s="116"/>
      <c r="AB5347" s="87"/>
      <c r="AC5347" s="116"/>
      <c r="AD5347" s="116"/>
      <c r="AE5347" s="116"/>
      <c r="AF5347" s="116"/>
      <c r="AG5347" s="116"/>
      <c r="AH5347" s="116"/>
      <c r="AI5347" s="116"/>
    </row>
    <row r="5348" spans="27:35" ht="18">
      <c r="AA5348" s="116"/>
      <c r="AB5348" s="87"/>
      <c r="AC5348" s="116"/>
      <c r="AD5348" s="116"/>
      <c r="AE5348" s="116"/>
      <c r="AF5348" s="116"/>
      <c r="AG5348" s="116"/>
      <c r="AH5348" s="116"/>
      <c r="AI5348" s="116"/>
    </row>
    <row r="5349" spans="27:35" ht="18">
      <c r="AA5349" s="116"/>
      <c r="AB5349" s="87"/>
      <c r="AC5349" s="116"/>
      <c r="AD5349" s="116"/>
      <c r="AE5349" s="116"/>
      <c r="AF5349" s="116"/>
      <c r="AG5349" s="116"/>
      <c r="AH5349" s="116"/>
      <c r="AI5349" s="116"/>
    </row>
    <row r="5350" spans="27:35" ht="18">
      <c r="AA5350" s="116"/>
      <c r="AB5350" s="87"/>
      <c r="AC5350" s="116"/>
      <c r="AD5350" s="116"/>
      <c r="AE5350" s="116"/>
      <c r="AF5350" s="116"/>
      <c r="AG5350" s="116"/>
      <c r="AH5350" s="116"/>
      <c r="AI5350" s="116"/>
    </row>
    <row r="5351" spans="27:35" ht="18">
      <c r="AA5351" s="116"/>
      <c r="AB5351" s="184"/>
      <c r="AC5351" s="116"/>
      <c r="AD5351" s="116"/>
      <c r="AE5351" s="116"/>
      <c r="AF5351" s="116"/>
      <c r="AG5351" s="116"/>
      <c r="AH5351" s="116"/>
      <c r="AI5351" s="116"/>
    </row>
    <row r="5352" spans="27:35" ht="18">
      <c r="AA5352" s="116"/>
      <c r="AB5352" s="184"/>
      <c r="AC5352" s="116"/>
      <c r="AD5352" s="116"/>
      <c r="AE5352" s="116"/>
      <c r="AF5352" s="116"/>
      <c r="AG5352" s="116"/>
      <c r="AH5352" s="116"/>
      <c r="AI5352" s="116"/>
    </row>
    <row r="5353" spans="27:35" ht="18">
      <c r="AA5353" s="116"/>
      <c r="AB5353" s="87"/>
      <c r="AC5353" s="116"/>
      <c r="AD5353" s="116"/>
      <c r="AE5353" s="116"/>
      <c r="AF5353" s="116"/>
      <c r="AG5353" s="116"/>
      <c r="AH5353" s="116"/>
      <c r="AI5353" s="116"/>
    </row>
    <row r="5354" spans="27:35" ht="18">
      <c r="AA5354" s="116"/>
      <c r="AB5354" s="87"/>
      <c r="AC5354" s="116"/>
      <c r="AD5354" s="116"/>
      <c r="AE5354" s="116"/>
      <c r="AF5354" s="116"/>
      <c r="AG5354" s="116"/>
      <c r="AH5354" s="116"/>
      <c r="AI5354" s="116"/>
    </row>
    <row r="5355" spans="27:35" ht="18">
      <c r="AA5355" s="116"/>
      <c r="AB5355" s="87"/>
      <c r="AC5355" s="116"/>
      <c r="AD5355" s="116"/>
      <c r="AE5355" s="116"/>
      <c r="AF5355" s="116"/>
      <c r="AG5355" s="116"/>
      <c r="AH5355" s="116"/>
      <c r="AI5355" s="116"/>
    </row>
    <row r="5356" spans="27:35" ht="18">
      <c r="AA5356" s="116"/>
      <c r="AB5356" s="87"/>
      <c r="AC5356" s="116"/>
      <c r="AD5356" s="116"/>
      <c r="AE5356" s="116"/>
      <c r="AF5356" s="116"/>
      <c r="AG5356" s="116"/>
      <c r="AH5356" s="116"/>
      <c r="AI5356" s="116"/>
    </row>
    <row r="5357" spans="27:35" ht="18">
      <c r="AA5357" s="116"/>
      <c r="AB5357" s="184"/>
      <c r="AC5357" s="116"/>
      <c r="AD5357" s="116"/>
      <c r="AE5357" s="116"/>
      <c r="AF5357" s="116"/>
      <c r="AG5357" s="116"/>
      <c r="AH5357" s="116"/>
      <c r="AI5357" s="116"/>
    </row>
    <row r="5358" spans="27:35" ht="18">
      <c r="AA5358" s="116"/>
      <c r="AB5358" s="184"/>
      <c r="AC5358" s="116"/>
      <c r="AD5358" s="116"/>
      <c r="AE5358" s="116"/>
      <c r="AF5358" s="116"/>
      <c r="AG5358" s="116"/>
      <c r="AH5358" s="116"/>
      <c r="AI5358" s="116"/>
    </row>
    <row r="5359" spans="27:35" ht="18">
      <c r="AA5359" s="116"/>
      <c r="AB5359" s="87"/>
      <c r="AC5359" s="116"/>
      <c r="AD5359" s="116"/>
      <c r="AE5359" s="116"/>
      <c r="AF5359" s="116"/>
      <c r="AG5359" s="116"/>
      <c r="AH5359" s="116"/>
      <c r="AI5359" s="116"/>
    </row>
    <row r="5360" spans="27:35" ht="18">
      <c r="AA5360" s="116"/>
      <c r="AB5360" s="87"/>
      <c r="AC5360" s="116"/>
      <c r="AD5360" s="116"/>
      <c r="AE5360" s="116"/>
      <c r="AF5360" s="116"/>
      <c r="AG5360" s="116"/>
      <c r="AH5360" s="116"/>
      <c r="AI5360" s="116"/>
    </row>
    <row r="5361" spans="27:35" ht="18">
      <c r="AA5361" s="116"/>
      <c r="AB5361" s="87"/>
      <c r="AC5361" s="116"/>
      <c r="AD5361" s="116"/>
      <c r="AE5361" s="116"/>
      <c r="AF5361" s="116"/>
      <c r="AG5361" s="116"/>
      <c r="AH5361" s="116"/>
      <c r="AI5361" s="116"/>
    </row>
    <row r="5362" spans="27:35" ht="18">
      <c r="AA5362" s="116"/>
      <c r="AB5362" s="87"/>
      <c r="AC5362" s="116"/>
      <c r="AD5362" s="116"/>
      <c r="AE5362" s="116"/>
      <c r="AF5362" s="116"/>
      <c r="AG5362" s="116"/>
      <c r="AH5362" s="116"/>
      <c r="AI5362" s="116"/>
    </row>
    <row r="5363" spans="27:35" ht="18">
      <c r="AA5363" s="116"/>
      <c r="AB5363" s="87"/>
      <c r="AC5363" s="116"/>
      <c r="AD5363" s="116"/>
      <c r="AE5363" s="116"/>
      <c r="AF5363" s="116"/>
      <c r="AG5363" s="116"/>
      <c r="AH5363" s="116"/>
      <c r="AI5363" s="116"/>
    </row>
    <row r="5364" spans="27:35" ht="18">
      <c r="AA5364" s="116"/>
      <c r="AB5364" s="87"/>
      <c r="AC5364" s="116"/>
      <c r="AD5364" s="116"/>
      <c r="AE5364" s="116"/>
      <c r="AF5364" s="116"/>
      <c r="AG5364" s="116"/>
      <c r="AH5364" s="116"/>
      <c r="AI5364" s="116"/>
    </row>
    <row r="5365" spans="27:35" ht="18">
      <c r="AA5365" s="116"/>
      <c r="AB5365" s="87"/>
      <c r="AC5365" s="116"/>
      <c r="AD5365" s="116"/>
      <c r="AE5365" s="116"/>
      <c r="AF5365" s="116"/>
      <c r="AG5365" s="116"/>
      <c r="AH5365" s="116"/>
      <c r="AI5365" s="116"/>
    </row>
    <row r="5366" spans="27:35" ht="18">
      <c r="AA5366" s="116"/>
      <c r="AB5366" s="87"/>
      <c r="AC5366" s="116"/>
      <c r="AD5366" s="116"/>
      <c r="AE5366" s="116"/>
      <c r="AF5366" s="116"/>
      <c r="AG5366" s="116"/>
      <c r="AH5366" s="116"/>
      <c r="AI5366" s="116"/>
    </row>
    <row r="5367" spans="27:35" ht="18">
      <c r="AA5367" s="116"/>
      <c r="AB5367" s="87"/>
      <c r="AC5367" s="116"/>
      <c r="AD5367" s="116"/>
      <c r="AE5367" s="116"/>
      <c r="AF5367" s="116"/>
      <c r="AG5367" s="116"/>
      <c r="AH5367" s="116"/>
      <c r="AI5367" s="116"/>
    </row>
    <row r="5368" spans="27:35" ht="18">
      <c r="AA5368" s="116"/>
      <c r="AB5368" s="87"/>
      <c r="AC5368" s="116"/>
      <c r="AD5368" s="116"/>
      <c r="AE5368" s="116"/>
      <c r="AF5368" s="116"/>
      <c r="AG5368" s="116"/>
      <c r="AH5368" s="116"/>
      <c r="AI5368" s="116"/>
    </row>
    <row r="5369" spans="27:35" ht="18">
      <c r="AA5369" s="116"/>
      <c r="AB5369" s="87"/>
      <c r="AC5369" s="116"/>
      <c r="AD5369" s="116"/>
      <c r="AE5369" s="116"/>
      <c r="AF5369" s="116"/>
      <c r="AG5369" s="116"/>
      <c r="AH5369" s="116"/>
      <c r="AI5369" s="116"/>
    </row>
    <row r="5370" spans="27:35" ht="18">
      <c r="AA5370" s="116"/>
      <c r="AB5370" s="87"/>
      <c r="AC5370" s="116"/>
      <c r="AD5370" s="116"/>
      <c r="AE5370" s="116"/>
      <c r="AF5370" s="116"/>
      <c r="AG5370" s="116"/>
      <c r="AH5370" s="116"/>
      <c r="AI5370" s="116"/>
    </row>
    <row r="5371" spans="27:35" ht="18">
      <c r="AA5371" s="116"/>
      <c r="AB5371" s="87"/>
      <c r="AC5371" s="116"/>
      <c r="AD5371" s="116"/>
      <c r="AE5371" s="116"/>
      <c r="AF5371" s="116"/>
      <c r="AG5371" s="116"/>
      <c r="AH5371" s="116"/>
      <c r="AI5371" s="116"/>
    </row>
    <row r="5372" spans="27:35" ht="18">
      <c r="AA5372" s="116"/>
      <c r="AB5372" s="87"/>
      <c r="AC5372" s="116"/>
      <c r="AD5372" s="116"/>
      <c r="AE5372" s="116"/>
      <c r="AF5372" s="116"/>
      <c r="AG5372" s="116"/>
      <c r="AH5372" s="116"/>
      <c r="AI5372" s="116"/>
    </row>
    <row r="5373" spans="27:35" ht="18">
      <c r="AA5373" s="116"/>
      <c r="AB5373" s="87"/>
      <c r="AC5373" s="116"/>
      <c r="AD5373" s="116"/>
      <c r="AE5373" s="116"/>
      <c r="AF5373" s="116"/>
      <c r="AG5373" s="116"/>
      <c r="AH5373" s="116"/>
      <c r="AI5373" s="116"/>
    </row>
    <row r="5374" spans="27:35" ht="18">
      <c r="AA5374" s="116"/>
      <c r="AB5374" s="184"/>
      <c r="AC5374" s="116"/>
      <c r="AD5374" s="116"/>
      <c r="AE5374" s="116"/>
      <c r="AF5374" s="116"/>
      <c r="AG5374" s="116"/>
      <c r="AH5374" s="116"/>
      <c r="AI5374" s="116"/>
    </row>
    <row r="5375" spans="27:35" ht="18">
      <c r="AA5375" s="116"/>
      <c r="AB5375" s="184"/>
      <c r="AC5375" s="116"/>
      <c r="AD5375" s="116"/>
      <c r="AE5375" s="116"/>
      <c r="AF5375" s="116"/>
      <c r="AG5375" s="116"/>
      <c r="AH5375" s="116"/>
      <c r="AI5375" s="116"/>
    </row>
    <row r="5376" spans="27:35" ht="18">
      <c r="AA5376" s="116"/>
      <c r="AB5376" s="87"/>
      <c r="AC5376" s="116"/>
      <c r="AD5376" s="116"/>
      <c r="AE5376" s="116"/>
      <c r="AF5376" s="116"/>
      <c r="AG5376" s="116"/>
      <c r="AH5376" s="116"/>
      <c r="AI5376" s="116"/>
    </row>
    <row r="5377" spans="27:35" ht="18">
      <c r="AA5377" s="116"/>
      <c r="AB5377" s="87"/>
      <c r="AC5377" s="116"/>
      <c r="AD5377" s="116"/>
      <c r="AE5377" s="116"/>
      <c r="AF5377" s="116"/>
      <c r="AG5377" s="116"/>
      <c r="AH5377" s="116"/>
      <c r="AI5377" s="116"/>
    </row>
    <row r="5378" spans="27:35" ht="18">
      <c r="AA5378" s="116"/>
      <c r="AB5378" s="87"/>
      <c r="AC5378" s="116"/>
      <c r="AD5378" s="116"/>
      <c r="AE5378" s="116"/>
      <c r="AF5378" s="116"/>
      <c r="AG5378" s="116"/>
      <c r="AH5378" s="116"/>
      <c r="AI5378" s="116"/>
    </row>
    <row r="5379" spans="27:35" ht="18">
      <c r="AA5379" s="116"/>
      <c r="AB5379" s="184"/>
      <c r="AC5379" s="116"/>
      <c r="AD5379" s="116"/>
      <c r="AE5379" s="116"/>
      <c r="AF5379" s="116"/>
      <c r="AG5379" s="116"/>
      <c r="AH5379" s="116"/>
      <c r="AI5379" s="116"/>
    </row>
    <row r="5380" spans="27:35" ht="18">
      <c r="AA5380" s="116"/>
      <c r="AB5380" s="87"/>
      <c r="AC5380" s="116"/>
      <c r="AD5380" s="116"/>
      <c r="AE5380" s="116"/>
      <c r="AF5380" s="116"/>
      <c r="AG5380" s="116"/>
      <c r="AH5380" s="116"/>
      <c r="AI5380" s="116"/>
    </row>
    <row r="5381" spans="27:35" ht="18">
      <c r="AA5381" s="116"/>
      <c r="AB5381" s="87"/>
      <c r="AC5381" s="116"/>
      <c r="AD5381" s="116"/>
      <c r="AE5381" s="116"/>
      <c r="AF5381" s="116"/>
      <c r="AG5381" s="116"/>
      <c r="AH5381" s="116"/>
      <c r="AI5381" s="116"/>
    </row>
    <row r="5382" spans="27:35" ht="18">
      <c r="AA5382" s="116"/>
      <c r="AB5382" s="87"/>
      <c r="AC5382" s="116"/>
      <c r="AD5382" s="116"/>
      <c r="AE5382" s="116"/>
      <c r="AF5382" s="116"/>
      <c r="AG5382" s="116"/>
      <c r="AH5382" s="116"/>
      <c r="AI5382" s="116"/>
    </row>
    <row r="5383" spans="27:35" ht="18">
      <c r="AA5383" s="116"/>
      <c r="AB5383" s="184"/>
      <c r="AC5383" s="116"/>
      <c r="AD5383" s="116"/>
      <c r="AE5383" s="116"/>
      <c r="AF5383" s="116"/>
      <c r="AG5383" s="116"/>
      <c r="AH5383" s="116"/>
      <c r="AI5383" s="116"/>
    </row>
    <row r="5384" spans="27:35" ht="18">
      <c r="AA5384" s="116"/>
      <c r="AB5384" s="87"/>
      <c r="AC5384" s="116"/>
      <c r="AD5384" s="116"/>
      <c r="AE5384" s="116"/>
      <c r="AF5384" s="116"/>
      <c r="AG5384" s="116"/>
      <c r="AH5384" s="116"/>
      <c r="AI5384" s="116"/>
    </row>
    <row r="5385" spans="27:35" ht="18">
      <c r="AA5385" s="116"/>
      <c r="AB5385" s="87"/>
      <c r="AC5385" s="116"/>
      <c r="AD5385" s="116"/>
      <c r="AE5385" s="116"/>
      <c r="AF5385" s="116"/>
      <c r="AG5385" s="116"/>
      <c r="AH5385" s="116"/>
      <c r="AI5385" s="116"/>
    </row>
    <row r="5386" spans="27:35" ht="18">
      <c r="AA5386" s="116"/>
      <c r="AB5386" s="87"/>
      <c r="AC5386" s="116"/>
      <c r="AD5386" s="116"/>
      <c r="AE5386" s="116"/>
      <c r="AF5386" s="116"/>
      <c r="AG5386" s="116"/>
      <c r="AH5386" s="116"/>
      <c r="AI5386" s="116"/>
    </row>
    <row r="5387" spans="27:35" ht="18">
      <c r="AA5387" s="116"/>
      <c r="AB5387" s="87"/>
      <c r="AC5387" s="116"/>
      <c r="AD5387" s="116"/>
      <c r="AE5387" s="116"/>
      <c r="AF5387" s="116"/>
      <c r="AG5387" s="116"/>
      <c r="AH5387" s="116"/>
      <c r="AI5387" s="116"/>
    </row>
    <row r="5388" spans="27:35" ht="18">
      <c r="AA5388" s="116"/>
      <c r="AB5388" s="87"/>
      <c r="AC5388" s="116"/>
      <c r="AD5388" s="116"/>
      <c r="AE5388" s="116"/>
      <c r="AF5388" s="116"/>
      <c r="AG5388" s="116"/>
      <c r="AH5388" s="116"/>
      <c r="AI5388" s="116"/>
    </row>
    <row r="5389" spans="27:35" ht="18">
      <c r="AA5389" s="116"/>
      <c r="AB5389" s="87"/>
      <c r="AC5389" s="116"/>
      <c r="AD5389" s="116"/>
      <c r="AE5389" s="116"/>
      <c r="AF5389" s="116"/>
      <c r="AG5389" s="116"/>
      <c r="AH5389" s="116"/>
      <c r="AI5389" s="116"/>
    </row>
    <row r="5390" spans="27:35" ht="18">
      <c r="AA5390" s="116"/>
      <c r="AB5390" s="87"/>
      <c r="AC5390" s="116"/>
      <c r="AD5390" s="116"/>
      <c r="AE5390" s="116"/>
      <c r="AF5390" s="116"/>
      <c r="AG5390" s="116"/>
      <c r="AH5390" s="116"/>
      <c r="AI5390" s="116"/>
    </row>
    <row r="5391" spans="27:35" ht="18">
      <c r="AA5391" s="116"/>
      <c r="AB5391" s="87"/>
      <c r="AC5391" s="116"/>
      <c r="AD5391" s="116"/>
      <c r="AE5391" s="116"/>
      <c r="AF5391" s="116"/>
      <c r="AG5391" s="116"/>
      <c r="AH5391" s="116"/>
      <c r="AI5391" s="116"/>
    </row>
    <row r="5392" spans="27:35" ht="18">
      <c r="AA5392" s="116"/>
      <c r="AB5392" s="87"/>
      <c r="AC5392" s="116"/>
      <c r="AD5392" s="116"/>
      <c r="AE5392" s="116"/>
      <c r="AF5392" s="116"/>
      <c r="AG5392" s="116"/>
      <c r="AH5392" s="116"/>
      <c r="AI5392" s="116"/>
    </row>
    <row r="5393" spans="27:35" ht="18">
      <c r="AA5393" s="116"/>
      <c r="AB5393" s="87"/>
      <c r="AC5393" s="116"/>
      <c r="AD5393" s="116"/>
      <c r="AE5393" s="116"/>
      <c r="AF5393" s="116"/>
      <c r="AG5393" s="116"/>
      <c r="AH5393" s="116"/>
      <c r="AI5393" s="116"/>
    </row>
    <row r="5394" spans="27:35" ht="18">
      <c r="AA5394" s="116"/>
      <c r="AB5394" s="184"/>
      <c r="AC5394" s="116"/>
      <c r="AD5394" s="116"/>
      <c r="AE5394" s="116"/>
      <c r="AF5394" s="116"/>
      <c r="AG5394" s="116"/>
      <c r="AH5394" s="116"/>
      <c r="AI5394" s="116"/>
    </row>
    <row r="5395" spans="27:35" ht="18">
      <c r="AA5395" s="116"/>
      <c r="AB5395" s="184"/>
      <c r="AC5395" s="116"/>
      <c r="AD5395" s="116"/>
      <c r="AE5395" s="116"/>
      <c r="AF5395" s="116"/>
      <c r="AG5395" s="116"/>
      <c r="AH5395" s="116"/>
      <c r="AI5395" s="116"/>
    </row>
    <row r="5396" spans="27:35" ht="18">
      <c r="AA5396" s="116"/>
      <c r="AB5396" s="184"/>
      <c r="AC5396" s="116"/>
      <c r="AD5396" s="116"/>
      <c r="AE5396" s="116"/>
      <c r="AF5396" s="116"/>
      <c r="AG5396" s="116"/>
      <c r="AH5396" s="116"/>
      <c r="AI5396" s="116"/>
    </row>
    <row r="5397" spans="27:35" ht="18">
      <c r="AA5397" s="116"/>
      <c r="AB5397" s="87"/>
      <c r="AC5397" s="116"/>
      <c r="AD5397" s="116"/>
      <c r="AE5397" s="116"/>
      <c r="AF5397" s="116"/>
      <c r="AG5397" s="116"/>
      <c r="AH5397" s="116"/>
      <c r="AI5397" s="116"/>
    </row>
    <row r="5398" spans="27:35" ht="18">
      <c r="AA5398" s="116"/>
      <c r="AB5398" s="87"/>
      <c r="AC5398" s="116"/>
      <c r="AD5398" s="116"/>
      <c r="AE5398" s="116"/>
      <c r="AF5398" s="116"/>
      <c r="AG5398" s="116"/>
      <c r="AH5398" s="116"/>
      <c r="AI5398" s="116"/>
    </row>
    <row r="5399" spans="27:35" ht="18">
      <c r="AA5399" s="116"/>
      <c r="AB5399" s="87"/>
      <c r="AC5399" s="116"/>
      <c r="AD5399" s="116"/>
      <c r="AE5399" s="116"/>
      <c r="AF5399" s="116"/>
      <c r="AG5399" s="116"/>
      <c r="AH5399" s="116"/>
      <c r="AI5399" s="116"/>
    </row>
    <row r="5400" spans="27:35" ht="18">
      <c r="AA5400" s="116"/>
      <c r="AB5400" s="87"/>
      <c r="AC5400" s="116"/>
      <c r="AD5400" s="116"/>
      <c r="AE5400" s="116"/>
      <c r="AF5400" s="116"/>
      <c r="AG5400" s="116"/>
      <c r="AH5400" s="116"/>
    </row>
  </sheetData>
  <mergeCells count="34">
    <mergeCell ref="AA3:AA6"/>
    <mergeCell ref="O4:O6"/>
    <mergeCell ref="P4:P6"/>
    <mergeCell ref="Z4:Z6"/>
    <mergeCell ref="T3:V3"/>
    <mergeCell ref="V4:V6"/>
    <mergeCell ref="S4:S6"/>
    <mergeCell ref="O3:S3"/>
    <mergeCell ref="Q4:Q6"/>
    <mergeCell ref="T4:T6"/>
    <mergeCell ref="U4:U6"/>
    <mergeCell ref="G3:G6"/>
    <mergeCell ref="H3:M3"/>
    <mergeCell ref="N3:N6"/>
    <mergeCell ref="H4:H6"/>
    <mergeCell ref="I4:L4"/>
    <mergeCell ref="I5:I6"/>
    <mergeCell ref="J5:J6"/>
    <mergeCell ref="F3:F6"/>
    <mergeCell ref="K5:K6"/>
    <mergeCell ref="L5:L6"/>
    <mergeCell ref="A1:AA1"/>
    <mergeCell ref="A2:AA2"/>
    <mergeCell ref="W3:Z3"/>
    <mergeCell ref="C3:E3"/>
    <mergeCell ref="A3:A6"/>
    <mergeCell ref="C4:C6"/>
    <mergeCell ref="D4:D6"/>
    <mergeCell ref="E4:E6"/>
    <mergeCell ref="X4:X6"/>
    <mergeCell ref="W4:W6"/>
    <mergeCell ref="Y4:Y6"/>
    <mergeCell ref="R4:R6"/>
    <mergeCell ref="M4:M6"/>
  </mergeCells>
  <dataValidations count="1">
    <dataValidation type="list" allowBlank="1" showInputMessage="1" showErrorMessage="1" sqref="B78:B87 B8:B25 B48:B54 B27:B37 B39:B46 B56:B69 B71:B76 B89:B99" xr:uid="{00000000-0002-0000-0600-000000000000}">
      <formula1>$B$4:$B$6</formula1>
    </dataValidation>
  </dataValidations>
  <pageMargins left="0.70866141732283472" right="0.70866141732283472" top="0.70866141732283472" bottom="0.70866141732283472" header="0.31496062992125984" footer="0.31496062992125984"/>
  <pageSetup paperSize="9" scale="34" fitToHeight="0" orientation="landscape" r:id="rId1"/>
  <headerFooter>
    <oddFooter>&amp;C&amp;A&amp;R&amp;P</oddFooter>
  </headerFooter>
  <ignoredErrors>
    <ignoredError sqref="Y36 Y42:Z42 Z49:Z50 Z52 Y41 Z44 Z87 Y65:Z65" numberStoredAsText="1"/>
    <ignoredError sqref="Y85 Y31 Y63 Y96 Y46 Z22 Y80"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19"/>
  <sheetViews>
    <sheetView zoomScaleNormal="100" zoomScaleSheetLayoutView="50" zoomScalePageLayoutView="70" workbookViewId="0">
      <pane ySplit="6" topLeftCell="A7" activePane="bottomLeft" state="frozen"/>
      <selection activeCell="G64" sqref="G64:G3673"/>
      <selection pane="bottomLeft" sqref="A1:M1"/>
    </sheetView>
  </sheetViews>
  <sheetFormatPr baseColWidth="10" defaultColWidth="8.83203125" defaultRowHeight="15"/>
  <cols>
    <col min="1" max="1" width="22.5" style="3" customWidth="1"/>
    <col min="2" max="2" width="41" style="3" customWidth="1"/>
    <col min="3" max="3" width="5.5" style="3" customWidth="1"/>
    <col min="4" max="4" width="4.5" style="66" customWidth="1"/>
    <col min="5" max="5" width="5.5" style="67" customWidth="1"/>
    <col min="6" max="6" width="12.5" style="68" customWidth="1"/>
    <col min="7" max="7" width="14.1640625" style="68" customWidth="1"/>
    <col min="8" max="9" width="12.5" style="68" customWidth="1"/>
    <col min="10" max="10" width="14.33203125" style="68" customWidth="1"/>
    <col min="11" max="12" width="12.5" style="68" customWidth="1"/>
    <col min="13" max="13" width="16.83203125" customWidth="1"/>
    <col min="14" max="14" width="11" style="78" bestFit="1" customWidth="1"/>
  </cols>
  <sheetData>
    <row r="1" spans="1:14" s="1" customFormat="1" ht="30" customHeight="1">
      <c r="A1" s="249" t="s">
        <v>382</v>
      </c>
      <c r="B1" s="249"/>
      <c r="C1" s="249"/>
      <c r="D1" s="249"/>
      <c r="E1" s="249"/>
      <c r="F1" s="249"/>
      <c r="G1" s="249"/>
      <c r="H1" s="249"/>
      <c r="I1" s="249"/>
      <c r="J1" s="249"/>
      <c r="K1" s="249"/>
      <c r="L1" s="249"/>
      <c r="M1" s="272"/>
      <c r="N1" s="164"/>
    </row>
    <row r="2" spans="1:14" s="1" customFormat="1" ht="15" customHeight="1">
      <c r="A2" s="242" t="s">
        <v>656</v>
      </c>
      <c r="B2" s="242"/>
      <c r="C2" s="242"/>
      <c r="D2" s="242"/>
      <c r="E2" s="242"/>
      <c r="F2" s="242"/>
      <c r="G2" s="242"/>
      <c r="H2" s="242"/>
      <c r="I2" s="242"/>
      <c r="J2" s="242"/>
      <c r="K2" s="242"/>
      <c r="L2" s="242"/>
      <c r="M2" s="273"/>
      <c r="N2" s="164"/>
    </row>
    <row r="3" spans="1:14" s="1" customFormat="1" ht="87" customHeight="1">
      <c r="A3" s="248" t="s">
        <v>675</v>
      </c>
      <c r="B3" s="136" t="str">
        <f>'Оценка (раздел 1)'!I3</f>
        <v>1.5 Какая доля субсидий местным бюджетам на 2022 год распределена законом о бюджете по муниципальным образованиям (в % от общего объема субсидий, предусмотренных местным бюджетам законом о бюджете на 2022 год) и сведения о таком распределении представлены комплексно в соответствующем приложении (приложениях) к закону о бюджете?</v>
      </c>
      <c r="C3" s="265" t="s">
        <v>120</v>
      </c>
      <c r="D3" s="247"/>
      <c r="E3" s="247"/>
      <c r="F3" s="247" t="s">
        <v>194</v>
      </c>
      <c r="G3" s="247" t="s">
        <v>197</v>
      </c>
      <c r="H3" s="247" t="s">
        <v>195</v>
      </c>
      <c r="I3" s="271" t="s">
        <v>196</v>
      </c>
      <c r="J3" s="271" t="s">
        <v>440</v>
      </c>
      <c r="K3" s="266" t="s">
        <v>238</v>
      </c>
      <c r="L3" s="247"/>
      <c r="M3" s="274" t="s">
        <v>137</v>
      </c>
      <c r="N3" s="164"/>
    </row>
    <row r="4" spans="1:14" ht="15" customHeight="1">
      <c r="A4" s="248"/>
      <c r="B4" s="75" t="str">
        <f>'Методика (раздел 1)'!B35</f>
        <v>75 – 100 %</v>
      </c>
      <c r="C4" s="275" t="s">
        <v>91</v>
      </c>
      <c r="D4" s="275" t="s">
        <v>170</v>
      </c>
      <c r="E4" s="276" t="s">
        <v>90</v>
      </c>
      <c r="F4" s="247"/>
      <c r="G4" s="247"/>
      <c r="H4" s="247"/>
      <c r="I4" s="271"/>
      <c r="J4" s="271"/>
      <c r="K4" s="266" t="s">
        <v>133</v>
      </c>
      <c r="L4" s="266" t="s">
        <v>134</v>
      </c>
      <c r="M4" s="247"/>
    </row>
    <row r="5" spans="1:14" ht="15" customHeight="1">
      <c r="A5" s="248"/>
      <c r="B5" s="75" t="str">
        <f>'Методика (раздел 1)'!B36</f>
        <v>50 – 74,9 %</v>
      </c>
      <c r="C5" s="247"/>
      <c r="D5" s="247"/>
      <c r="E5" s="246"/>
      <c r="F5" s="247"/>
      <c r="G5" s="247"/>
      <c r="H5" s="247"/>
      <c r="I5" s="271"/>
      <c r="J5" s="271"/>
      <c r="K5" s="266"/>
      <c r="L5" s="266"/>
      <c r="M5" s="247"/>
    </row>
    <row r="6" spans="1:14" ht="15" customHeight="1">
      <c r="A6" s="248"/>
      <c r="B6" s="45" t="str">
        <f>'Методика (раздел 1)'!B37</f>
        <v>Менее 50% или расчет показателя затруднен</v>
      </c>
      <c r="C6" s="247"/>
      <c r="D6" s="247"/>
      <c r="E6" s="246"/>
      <c r="F6" s="247"/>
      <c r="G6" s="247"/>
      <c r="H6" s="247"/>
      <c r="I6" s="271"/>
      <c r="J6" s="271"/>
      <c r="K6" s="266"/>
      <c r="L6" s="266"/>
      <c r="M6" s="247"/>
    </row>
    <row r="7" spans="1:14" ht="15" customHeight="1">
      <c r="A7" s="227" t="s">
        <v>0</v>
      </c>
      <c r="B7" s="101"/>
      <c r="C7" s="101"/>
      <c r="D7" s="192"/>
      <c r="E7" s="193"/>
      <c r="F7" s="49"/>
      <c r="G7" s="49"/>
      <c r="H7" s="49"/>
      <c r="I7" s="194"/>
      <c r="J7" s="194"/>
      <c r="K7" s="46"/>
      <c r="L7" s="49"/>
      <c r="M7" s="124"/>
    </row>
    <row r="8" spans="1:14" s="36" customFormat="1" ht="15" customHeight="1">
      <c r="A8" s="228" t="s">
        <v>1</v>
      </c>
      <c r="B8" s="54" t="s">
        <v>412</v>
      </c>
      <c r="C8" s="51">
        <f>IF(B8="75 – 100 %",2,(IF(B8="50 – 74,9 %",1,0)))</f>
        <v>2</v>
      </c>
      <c r="D8" s="74">
        <v>0.5</v>
      </c>
      <c r="E8" s="52">
        <f>C8*(1-D8)</f>
        <v>1</v>
      </c>
      <c r="F8" s="55">
        <v>15798921.699999999</v>
      </c>
      <c r="G8" s="55">
        <f>55736.2+1288+28627.4+50558.6+3763+251388+841151.8+308864.9+2229133+335890+489452.4+3518926.8+61890+20000+49358.4+14803+11300+210000+3500+7062.1+7873.9+470357.1+10062.1+26290+330750.5+258128.1+460691.5+7363+6069+5002.2+248011.5+1078457.6+1184174+116552+90000+427738.8+500+25522.8+32684+676701.6+1498772.4</f>
        <v>15454395.699999999</v>
      </c>
      <c r="H8" s="55">
        <f t="shared" ref="H8:H24" si="0">ROUND(G8/F8*100,1)</f>
        <v>97.8</v>
      </c>
      <c r="I8" s="57" t="s">
        <v>443</v>
      </c>
      <c r="J8" s="57" t="s">
        <v>123</v>
      </c>
      <c r="K8" s="56" t="s">
        <v>558</v>
      </c>
      <c r="L8" s="56" t="s">
        <v>573</v>
      </c>
      <c r="M8" s="63" t="s">
        <v>645</v>
      </c>
      <c r="N8" s="78" t="s">
        <v>112</v>
      </c>
    </row>
    <row r="9" spans="1:14" s="36" customFormat="1" ht="15" customHeight="1">
      <c r="A9" s="228" t="s">
        <v>2</v>
      </c>
      <c r="B9" s="54" t="s">
        <v>412</v>
      </c>
      <c r="C9" s="51">
        <f>IF(B9="75 – 100 %",2,(IF(B9="50 – 74,9 %",1,0)))</f>
        <v>2</v>
      </c>
      <c r="D9" s="74"/>
      <c r="E9" s="52">
        <f t="shared" ref="E9:E24" si="1">C9*(1-D9)</f>
        <v>2</v>
      </c>
      <c r="F9" s="55">
        <f>9344145601.02/1000</f>
        <v>9344145.6010200009</v>
      </c>
      <c r="G9" s="55">
        <f>(20748446.5+1797544.44+10000000+15000000+5192872+97856536.3+18000000+29450000+381449365.6+322848384+353020101+73896810+23804256+14954256+5318830+23646064+13944000+12500000+555555734+890363.59+26612352+238733855.92+195367640+25000000+27081620+73998718.72+222017934.78+1052398244.76+31125600+330000000+500000000+203792378+893638375+455766859.76+7251176.17+30000000+152628756+428678523.72+50000000+255000000+69909191.92+40354408+218257594+26309205+10463031+2659575+6685758+1447900000+7720286)/1000</f>
        <v>9009224.6471800003</v>
      </c>
      <c r="H9" s="55">
        <f t="shared" si="0"/>
        <v>96.4</v>
      </c>
      <c r="I9" s="57" t="s">
        <v>443</v>
      </c>
      <c r="J9" s="57" t="s">
        <v>122</v>
      </c>
      <c r="K9" s="56" t="s">
        <v>559</v>
      </c>
      <c r="L9" s="56" t="s">
        <v>574</v>
      </c>
      <c r="M9" s="63" t="s">
        <v>112</v>
      </c>
      <c r="N9" s="78"/>
    </row>
    <row r="10" spans="1:14" s="36" customFormat="1" ht="15" customHeight="1">
      <c r="A10" s="228" t="s">
        <v>3</v>
      </c>
      <c r="B10" s="54" t="s">
        <v>412</v>
      </c>
      <c r="C10" s="51">
        <f>IF(B10="75 – 100 %",2,(IF(B10="50 – 74,9 %",1,0)))</f>
        <v>2</v>
      </c>
      <c r="D10" s="74"/>
      <c r="E10" s="52">
        <f t="shared" si="1"/>
        <v>2</v>
      </c>
      <c r="F10" s="55">
        <v>11196419.5</v>
      </c>
      <c r="G10" s="55">
        <f>525.5+1000+300+28000+1200000+10000+33925.7+30000+5248.1+12440+16955+3100+12951.5+61513.2+47062.4+21444.2+11641.6+17443.4+622431.1+91895.6+1100+1566+15921.8+4062.3+661337.3+1923.6+81320.9+17953.6+17958.1+3043.5+84370.5+121026.6+122232.9+6200.3+3582.7+6755.7+50000+15000+20002.9+10000+5000+25000+124457.7+293512.2+300000+241410.5+538383.8+8240.6+96477.4+242516.7+325323.3+523000+20135.3+105066.4+256342.4+16717.5+174294.2+436643+1570881+110790.9+456331+95166.9+70623.1+362607.3+428281.5+516455+62274.1+54051.5+2056.8+459.9+1123.1+6721.4+252839</f>
        <v>11196419.500000002</v>
      </c>
      <c r="H10" s="55">
        <f t="shared" si="0"/>
        <v>100</v>
      </c>
      <c r="I10" s="57" t="s">
        <v>443</v>
      </c>
      <c r="J10" s="57" t="s">
        <v>122</v>
      </c>
      <c r="K10" s="56" t="s">
        <v>558</v>
      </c>
      <c r="L10" s="56" t="s">
        <v>575</v>
      </c>
      <c r="M10" s="63" t="s">
        <v>112</v>
      </c>
      <c r="N10" s="78"/>
    </row>
    <row r="11" spans="1:14" ht="15" customHeight="1">
      <c r="A11" s="228" t="s">
        <v>4</v>
      </c>
      <c r="B11" s="54" t="s">
        <v>412</v>
      </c>
      <c r="C11" s="51">
        <f>IF(B11="75 – 100 %",2,(IF(B11="50 – 74,9 %",1,0)))</f>
        <v>2</v>
      </c>
      <c r="D11" s="74"/>
      <c r="E11" s="52">
        <f t="shared" si="1"/>
        <v>2</v>
      </c>
      <c r="F11" s="55">
        <v>18281869.899999999</v>
      </c>
      <c r="G11" s="55">
        <f>1143699.7+129085+3900+1014378+16694+101978.6+1007.1+7300289.4+94991+2000+15000+83.4+2000+830+497+180+35042.2+194000.9+654437.8+131577.1+9907+11013.1+6651+31879+2800+949.2+35000+11939+54000+5685+23255.9+20000+800+3330.3+58208.3+1756000+2299531.1+985442.1+85242.6+17985.7+9901.1+57271.5+88418.7+212714+282709.5+65613.2+38726.5+698.8+418743.6+297919.7+26395.9+189118.1+33672.3+5834.7+3229.7+153741.1</f>
        <v>18145998.899999999</v>
      </c>
      <c r="H11" s="55">
        <f t="shared" si="0"/>
        <v>99.3</v>
      </c>
      <c r="I11" s="57" t="s">
        <v>443</v>
      </c>
      <c r="J11" s="57" t="s">
        <v>122</v>
      </c>
      <c r="K11" s="56" t="s">
        <v>558</v>
      </c>
      <c r="L11" s="56" t="s">
        <v>576</v>
      </c>
      <c r="M11" s="63" t="s">
        <v>112</v>
      </c>
    </row>
    <row r="12" spans="1:14" s="7" customFormat="1" ht="15" customHeight="1">
      <c r="A12" s="228" t="s">
        <v>5</v>
      </c>
      <c r="B12" s="54" t="s">
        <v>413</v>
      </c>
      <c r="C12" s="51">
        <f t="shared" ref="C12:C45" si="2">IF(B12="75 – 100 %",2,(IF(B12="50 – 74,9 %",1,0)))</f>
        <v>1</v>
      </c>
      <c r="D12" s="74"/>
      <c r="E12" s="52">
        <f t="shared" si="1"/>
        <v>1</v>
      </c>
      <c r="F12" s="55">
        <f>7289482664.93/1000</f>
        <v>7289482.66493</v>
      </c>
      <c r="G12" s="55">
        <f>(404250+21444242.43+24089192+52433887.32+94049932+28543623.5+3004142.64+448115584.25+23433396+6498000+59469575+389013939.4+48524100+308187673.55+25000000+41199360.78+21121720.44+271549202+52508000+5860000+14437000+1000000+15250000+400000+400000+100000+15000+100000+1136843600+247675931.65+415159478.7+20153971+358878800+3043472.82+500000)/1000</f>
        <v>4138407.0754800001</v>
      </c>
      <c r="H12" s="55">
        <f t="shared" si="0"/>
        <v>56.8</v>
      </c>
      <c r="I12" s="57" t="s">
        <v>443</v>
      </c>
      <c r="J12" s="57" t="s">
        <v>122</v>
      </c>
      <c r="K12" s="56" t="s">
        <v>560</v>
      </c>
      <c r="L12" s="56" t="s">
        <v>577</v>
      </c>
      <c r="M12" s="54" t="s">
        <v>112</v>
      </c>
      <c r="N12" s="189"/>
    </row>
    <row r="13" spans="1:14" s="32" customFormat="1" ht="15" customHeight="1">
      <c r="A13" s="228" t="s">
        <v>6</v>
      </c>
      <c r="B13" s="54" t="s">
        <v>412</v>
      </c>
      <c r="C13" s="51">
        <f t="shared" si="2"/>
        <v>2</v>
      </c>
      <c r="D13" s="74"/>
      <c r="E13" s="52">
        <f t="shared" si="1"/>
        <v>2</v>
      </c>
      <c r="F13" s="55">
        <f>11308504</f>
        <v>11308504</v>
      </c>
      <c r="G13" s="55">
        <f>(50000000+38226324+190000000+2080000+34249600+785400580+293071708+198200000+543074265+1440000024+810078000+6847188+3820000+109077300+10000+10000+10000+10000+948991828.13+15000000+27137946+500100+4500000+1721973000+25000000+13038980+100000000+6100000+30062792+3772634+422007708+70172083+67394400+10000+10000+5432647+18931979+3483000+9816765+75950476+5551029+866147296.32+1887447+200000+9367233+1453125+21444167+1436221805+138581832+15939265+199990000+2782242+1384601+17299557+9738342+307064798.75)/1000</f>
        <v>11108504.067200001</v>
      </c>
      <c r="H13" s="55">
        <f t="shared" si="0"/>
        <v>98.2</v>
      </c>
      <c r="I13" s="57" t="s">
        <v>443</v>
      </c>
      <c r="J13" s="57" t="s">
        <v>122</v>
      </c>
      <c r="K13" s="56" t="s">
        <v>561</v>
      </c>
      <c r="L13" s="56" t="s">
        <v>578</v>
      </c>
      <c r="M13" s="54" t="s">
        <v>112</v>
      </c>
      <c r="N13" s="78"/>
    </row>
    <row r="14" spans="1:14" ht="15" customHeight="1">
      <c r="A14" s="228" t="s">
        <v>7</v>
      </c>
      <c r="B14" s="54" t="s">
        <v>412</v>
      </c>
      <c r="C14" s="51">
        <f t="shared" si="2"/>
        <v>2</v>
      </c>
      <c r="D14" s="74"/>
      <c r="E14" s="52">
        <f t="shared" si="1"/>
        <v>2</v>
      </c>
      <c r="F14" s="195">
        <v>4765251.0999999996</v>
      </c>
      <c r="G14" s="55">
        <f>339901.6+24742.8+1592.3+282755.4+150404.7+198147.4+22677.5+85682.3+500+1667.2+40817.1+491000+445078.2+5000+53512.5+35000+32103.7-212.022+781126.5+308663.6+189867.4-774.3+12378.2+199287.9+415440.7+24000+3685.2+9000+1600+11844.8+39334+4100+18350+133943.5+122894.9+4236.6</f>
        <v>4489349.6780000012</v>
      </c>
      <c r="H14" s="55">
        <f t="shared" si="0"/>
        <v>94.2</v>
      </c>
      <c r="I14" s="57" t="s">
        <v>443</v>
      </c>
      <c r="J14" s="57" t="s">
        <v>122</v>
      </c>
      <c r="K14" s="56" t="s">
        <v>562</v>
      </c>
      <c r="L14" s="56" t="s">
        <v>579</v>
      </c>
      <c r="M14" s="54" t="s">
        <v>112</v>
      </c>
    </row>
    <row r="15" spans="1:14" ht="15" customHeight="1">
      <c r="A15" s="228" t="s">
        <v>8</v>
      </c>
      <c r="B15" s="54" t="s">
        <v>412</v>
      </c>
      <c r="C15" s="51">
        <f t="shared" si="2"/>
        <v>2</v>
      </c>
      <c r="D15" s="74"/>
      <c r="E15" s="52">
        <f t="shared" si="1"/>
        <v>2</v>
      </c>
      <c r="F15" s="55">
        <f>9523111024/1000</f>
        <v>9523111.0240000002</v>
      </c>
      <c r="G15" s="55">
        <f>(37303898+457698988+5543004+27778454+22322788+1400000+1273177525+960000000+490522387+1121076977+80991052+54906123+1157188966+13328878+208410228+8516986+346646637-1.65+68401593+1070144600+3609898+63894488+1134310+130719360+143781698+13864137+296813164+43656308+1836735+561225+3000000+13108572+9466021+29163564+117297411+558929442)/1000</f>
        <v>8836195.4153500013</v>
      </c>
      <c r="H15" s="55">
        <f t="shared" si="0"/>
        <v>92.8</v>
      </c>
      <c r="I15" s="57" t="s">
        <v>443</v>
      </c>
      <c r="J15" s="57" t="s">
        <v>122</v>
      </c>
      <c r="K15" s="56" t="s">
        <v>563</v>
      </c>
      <c r="L15" s="56" t="s">
        <v>580</v>
      </c>
      <c r="M15" s="63" t="s">
        <v>112</v>
      </c>
    </row>
    <row r="16" spans="1:14" s="32" customFormat="1" ht="15" customHeight="1">
      <c r="A16" s="228" t="s">
        <v>9</v>
      </c>
      <c r="B16" s="54" t="s">
        <v>412</v>
      </c>
      <c r="C16" s="51">
        <f t="shared" si="2"/>
        <v>2</v>
      </c>
      <c r="D16" s="74"/>
      <c r="E16" s="52">
        <f t="shared" si="1"/>
        <v>2</v>
      </c>
      <c r="F16" s="55">
        <f>8090231219.67/1000</f>
        <v>8090231.2196700005</v>
      </c>
      <c r="G16" s="55">
        <f>(19759844.44+14475418+892683794.74-699367.74+360933810+14700000+3370864041.1+12347800+146216000+18967000+2373863969.65+39300433.5+15364000+585625092.99+225130015.25-9578.93)/1000</f>
        <v>8089522.273</v>
      </c>
      <c r="H16" s="55">
        <f t="shared" si="0"/>
        <v>100</v>
      </c>
      <c r="I16" s="57" t="s">
        <v>443</v>
      </c>
      <c r="J16" s="57" t="s">
        <v>122</v>
      </c>
      <c r="K16" s="56" t="s">
        <v>564</v>
      </c>
      <c r="L16" s="56" t="s">
        <v>581</v>
      </c>
      <c r="M16" s="63" t="s">
        <v>112</v>
      </c>
      <c r="N16" s="78"/>
    </row>
    <row r="17" spans="1:14" s="32" customFormat="1" ht="15" customHeight="1">
      <c r="A17" s="228" t="s">
        <v>10</v>
      </c>
      <c r="B17" s="54" t="s">
        <v>412</v>
      </c>
      <c r="C17" s="51">
        <f t="shared" si="2"/>
        <v>2</v>
      </c>
      <c r="D17" s="74"/>
      <c r="E17" s="52">
        <f t="shared" si="1"/>
        <v>2</v>
      </c>
      <c r="F17" s="55">
        <v>103165673</v>
      </c>
      <c r="G17" s="195">
        <f>24365+3429+765631+79665+38699+7261+6687+19018+80113+98590+1291674+623703+40466+162775+192956+23850+57677+8979272+4127+17444+601698+9738+4500604+2362051+34552+505876+718371+49970+25899+5430+368659+257042+6202+180765+9887+15180+5642+3708+25441+5083+1839+55388+104178+9507643+38331+33445+18181+62667+14863+133265+355253+4309+171992+183944+152145+522513+23750+229068+11825+1743899+392180+220610+2271634+514762+966244+591186+84119+188998+264667+28254+1372840+3500000+883906+1000000+327573+640574+107701+256092+9885+41100+460681+2809092+143507+54000+43200+2574771+595403+454830+600000+360579+123353+1000000+21875+427500+92805+47070+1678729+1854201+3497919+4606009+8160638+1170401+15720+491411+146135+2160262+75367+205200+2154542+773014+400080+2149700+99319+6111929+1551496+3133197+175638</f>
        <v>99659596</v>
      </c>
      <c r="H17" s="55">
        <f t="shared" si="0"/>
        <v>96.6</v>
      </c>
      <c r="I17" s="57" t="s">
        <v>443</v>
      </c>
      <c r="J17" s="57" t="s">
        <v>122</v>
      </c>
      <c r="K17" s="56" t="s">
        <v>565</v>
      </c>
      <c r="L17" s="56" t="s">
        <v>582</v>
      </c>
      <c r="M17" s="196" t="s">
        <v>112</v>
      </c>
      <c r="N17" s="78"/>
    </row>
    <row r="18" spans="1:14" ht="14" customHeight="1">
      <c r="A18" s="228" t="s">
        <v>11</v>
      </c>
      <c r="B18" s="54" t="s">
        <v>413</v>
      </c>
      <c r="C18" s="51">
        <f t="shared" si="2"/>
        <v>1</v>
      </c>
      <c r="D18" s="74">
        <v>0.5</v>
      </c>
      <c r="E18" s="52">
        <f t="shared" si="1"/>
        <v>0.5</v>
      </c>
      <c r="F18" s="55">
        <v>8073720.5999999978</v>
      </c>
      <c r="G18" s="55">
        <f>89127.6+331378.6+23533.2+12254.2+1333.2+11691.6+3000+23195.4+600000+664217.2+400000+10692.9+185388.5+40144.7+192062.8+180000+8085.7+7000+9489.2+408699.2+64667.7+644619.5+21349.5+14521.8+35950.9+9859.3+40918.4+590.6+1879.8</f>
        <v>4035651.5</v>
      </c>
      <c r="H18" s="55">
        <f t="shared" si="0"/>
        <v>50</v>
      </c>
      <c r="I18" s="57" t="s">
        <v>442</v>
      </c>
      <c r="J18" s="57" t="s">
        <v>122</v>
      </c>
      <c r="K18" s="56" t="s">
        <v>566</v>
      </c>
      <c r="L18" s="56" t="s">
        <v>583</v>
      </c>
      <c r="M18" s="63" t="s">
        <v>643</v>
      </c>
      <c r="N18" s="78" t="s">
        <v>112</v>
      </c>
    </row>
    <row r="19" spans="1:14" s="7" customFormat="1" ht="15" customHeight="1">
      <c r="A19" s="228" t="s">
        <v>12</v>
      </c>
      <c r="B19" s="54" t="s">
        <v>190</v>
      </c>
      <c r="C19" s="51">
        <f t="shared" si="2"/>
        <v>0</v>
      </c>
      <c r="D19" s="74"/>
      <c r="E19" s="52">
        <f t="shared" si="1"/>
        <v>0</v>
      </c>
      <c r="F19" s="55">
        <f>7535874167.62/1000</f>
        <v>7535874.1676199995</v>
      </c>
      <c r="G19" s="55">
        <f>(40000000+689022767.6+9582853.43+477638236.71+7625257.73+31647300+4275000+1000000+625930212.7+94126818.06+43979318.18+14986931.82+251000)/1000</f>
        <v>2040065.6962300001</v>
      </c>
      <c r="H19" s="55">
        <f t="shared" si="0"/>
        <v>27.1</v>
      </c>
      <c r="I19" s="57" t="s">
        <v>443</v>
      </c>
      <c r="J19" s="57" t="s">
        <v>122</v>
      </c>
      <c r="K19" s="56" t="s">
        <v>567</v>
      </c>
      <c r="L19" s="56" t="s">
        <v>558</v>
      </c>
      <c r="M19" s="63" t="s">
        <v>556</v>
      </c>
      <c r="N19" s="190" t="s">
        <v>112</v>
      </c>
    </row>
    <row r="20" spans="1:14" ht="15" customHeight="1">
      <c r="A20" s="228" t="s">
        <v>13</v>
      </c>
      <c r="B20" s="54" t="s">
        <v>190</v>
      </c>
      <c r="C20" s="51">
        <f t="shared" si="2"/>
        <v>0</v>
      </c>
      <c r="D20" s="74"/>
      <c r="E20" s="52">
        <f t="shared" si="1"/>
        <v>0</v>
      </c>
      <c r="F20" s="55">
        <v>5996928.2999999998</v>
      </c>
      <c r="G20" s="55">
        <v>0</v>
      </c>
      <c r="H20" s="55">
        <f t="shared" si="0"/>
        <v>0</v>
      </c>
      <c r="I20" s="57" t="s">
        <v>443</v>
      </c>
      <c r="J20" s="57" t="s">
        <v>112</v>
      </c>
      <c r="K20" s="56" t="s">
        <v>568</v>
      </c>
      <c r="L20" s="56" t="s">
        <v>557</v>
      </c>
      <c r="M20" s="63" t="s">
        <v>644</v>
      </c>
      <c r="N20" s="78" t="s">
        <v>112</v>
      </c>
    </row>
    <row r="21" spans="1:14" s="7" customFormat="1" ht="15" customHeight="1">
      <c r="A21" s="228" t="s">
        <v>14</v>
      </c>
      <c r="B21" s="54" t="s">
        <v>412</v>
      </c>
      <c r="C21" s="51">
        <f t="shared" si="2"/>
        <v>2</v>
      </c>
      <c r="D21" s="74">
        <v>0.5</v>
      </c>
      <c r="E21" s="52">
        <f t="shared" si="1"/>
        <v>1</v>
      </c>
      <c r="F21" s="55">
        <v>7455552.2999999998</v>
      </c>
      <c r="G21" s="55">
        <f>40+69778.2+113416.5+603749.5+2669+12486.3+401492.4+33355+1259.1+3675.7+4658.6+41500+39548.7+21444.2+257.8+6000+307153.4+22219.5+242739.6+251384.7+3764.9+10640.2+144357+84518.1+294707.9+263550.1+300000+4242.4+6593.4+20361.9+47334.3+63493.4+44290+74165.6+425978.6+138993.1+315000+1150847.8+74776.6+269415.1+37151.7+130957.9+770456.8+5000+4861.8+280000+2996.8+3849.8+200000+14271.9+58296.9</f>
        <v>7423702.1999999993</v>
      </c>
      <c r="H21" s="55">
        <f t="shared" si="0"/>
        <v>99.6</v>
      </c>
      <c r="I21" s="57" t="s">
        <v>443</v>
      </c>
      <c r="J21" s="57" t="s">
        <v>123</v>
      </c>
      <c r="K21" s="56" t="s">
        <v>569</v>
      </c>
      <c r="L21" s="63" t="s">
        <v>584</v>
      </c>
      <c r="M21" s="63" t="s">
        <v>549</v>
      </c>
      <c r="N21" s="78" t="s">
        <v>112</v>
      </c>
    </row>
    <row r="22" spans="1:14" s="32" customFormat="1" ht="15" customHeight="1">
      <c r="A22" s="228" t="s">
        <v>15</v>
      </c>
      <c r="B22" s="54" t="s">
        <v>413</v>
      </c>
      <c r="C22" s="51">
        <f t="shared" si="2"/>
        <v>1</v>
      </c>
      <c r="D22" s="74"/>
      <c r="E22" s="52">
        <f t="shared" si="1"/>
        <v>1</v>
      </c>
      <c r="F22" s="55">
        <v>6163545.0999999996</v>
      </c>
      <c r="G22" s="195">
        <f>40000+94456.1+77074+604293.6+257522+97175.2+8321.5+243416.5+8282.4+448568.8+542756.1+50000+30189.8+748024.1+12432.7+2110.9</f>
        <v>3264623.6999999997</v>
      </c>
      <c r="H22" s="55">
        <f t="shared" si="0"/>
        <v>53</v>
      </c>
      <c r="I22" s="57" t="s">
        <v>443</v>
      </c>
      <c r="J22" s="57" t="s">
        <v>122</v>
      </c>
      <c r="K22" s="56" t="s">
        <v>570</v>
      </c>
      <c r="L22" s="56" t="s">
        <v>585</v>
      </c>
      <c r="M22" s="63" t="s">
        <v>112</v>
      </c>
      <c r="N22" s="78"/>
    </row>
    <row r="23" spans="1:14" s="32" customFormat="1" ht="14.5" customHeight="1">
      <c r="A23" s="228" t="s">
        <v>16</v>
      </c>
      <c r="B23" s="54" t="s">
        <v>412</v>
      </c>
      <c r="C23" s="51">
        <f t="shared" si="2"/>
        <v>2</v>
      </c>
      <c r="D23" s="74">
        <v>0.5</v>
      </c>
      <c r="E23" s="52">
        <f t="shared" si="1"/>
        <v>1</v>
      </c>
      <c r="F23" s="55">
        <f>9297999209.51/1000</f>
        <v>9297999.2095100004</v>
      </c>
      <c r="G23" s="55">
        <f>(159235232.89+72377410+34407462.82+11109930+415358229.17+1876301.37+845675806+166618734+269466720+241058541.02+178561180+3607584.85+288038900+50000000+233375481.6+70000000+1508656264.15+93222467+113678645.8+300000000+1274513411.15+33868000+58714657.64+7829270.83+232112800+1816538.98+7183000+260514000+254919600+40787400+120451900+4927200+679090120.03+20090793.04+241519265.5+62353141.9+6657500+28164247+6864657.53+30000000+15326165+7991160+502425889.41)/1000</f>
        <v>8954445.6086799987</v>
      </c>
      <c r="H23" s="55">
        <f t="shared" si="0"/>
        <v>96.3</v>
      </c>
      <c r="I23" s="57" t="s">
        <v>443</v>
      </c>
      <c r="J23" s="57" t="s">
        <v>123</v>
      </c>
      <c r="K23" s="56" t="s">
        <v>571</v>
      </c>
      <c r="L23" s="56" t="s">
        <v>586</v>
      </c>
      <c r="M23" s="63" t="s">
        <v>550</v>
      </c>
      <c r="N23" s="78" t="s">
        <v>112</v>
      </c>
    </row>
    <row r="24" spans="1:14" s="7" customFormat="1" ht="15" customHeight="1">
      <c r="A24" s="228" t="s">
        <v>17</v>
      </c>
      <c r="B24" s="54" t="s">
        <v>412</v>
      </c>
      <c r="C24" s="51">
        <f t="shared" si="2"/>
        <v>2</v>
      </c>
      <c r="D24" s="74"/>
      <c r="E24" s="52">
        <f t="shared" si="1"/>
        <v>2</v>
      </c>
      <c r="F24" s="55">
        <f>7855890490/1000</f>
        <v>7855890.4900000002</v>
      </c>
      <c r="G24" s="55">
        <f>(7855890490-28728458)/1000</f>
        <v>7827162.0319999997</v>
      </c>
      <c r="H24" s="55">
        <f t="shared" si="0"/>
        <v>99.6</v>
      </c>
      <c r="I24" s="57" t="s">
        <v>443</v>
      </c>
      <c r="J24" s="57" t="s">
        <v>122</v>
      </c>
      <c r="K24" s="56" t="s">
        <v>572</v>
      </c>
      <c r="L24" s="56" t="s">
        <v>558</v>
      </c>
      <c r="M24" s="63" t="s">
        <v>112</v>
      </c>
      <c r="N24" s="78"/>
    </row>
    <row r="25" spans="1:14" ht="15" customHeight="1">
      <c r="A25" s="228" t="s">
        <v>422</v>
      </c>
      <c r="B25" s="50" t="s">
        <v>671</v>
      </c>
      <c r="C25" s="197" t="s">
        <v>199</v>
      </c>
      <c r="D25" s="51"/>
      <c r="E25" s="197" t="s">
        <v>199</v>
      </c>
      <c r="F25" s="198" t="s">
        <v>112</v>
      </c>
      <c r="G25" s="198" t="s">
        <v>112</v>
      </c>
      <c r="H25" s="55" t="s">
        <v>112</v>
      </c>
      <c r="I25" s="63" t="s">
        <v>112</v>
      </c>
      <c r="J25" s="57" t="s">
        <v>112</v>
      </c>
      <c r="K25" s="63" t="s">
        <v>112</v>
      </c>
      <c r="L25" s="63" t="s">
        <v>112</v>
      </c>
      <c r="M25" s="63" t="s">
        <v>112</v>
      </c>
    </row>
    <row r="26" spans="1:14" s="32" customFormat="1" ht="15" customHeight="1">
      <c r="A26" s="227" t="s">
        <v>18</v>
      </c>
      <c r="B26" s="106"/>
      <c r="C26" s="101"/>
      <c r="D26" s="128"/>
      <c r="E26" s="193"/>
      <c r="F26" s="199"/>
      <c r="G26" s="199"/>
      <c r="H26" s="62"/>
      <c r="I26" s="200"/>
      <c r="J26" s="200"/>
      <c r="K26" s="201"/>
      <c r="L26" s="201"/>
      <c r="M26" s="202"/>
      <c r="N26" s="78"/>
    </row>
    <row r="27" spans="1:14" ht="15" customHeight="1">
      <c r="A27" s="228" t="s">
        <v>19</v>
      </c>
      <c r="B27" s="54" t="s">
        <v>412</v>
      </c>
      <c r="C27" s="51">
        <f t="shared" si="2"/>
        <v>2</v>
      </c>
      <c r="D27" s="74"/>
      <c r="E27" s="52">
        <f t="shared" ref="E27:E37" si="3">C27*(1-D27)</f>
        <v>2</v>
      </c>
      <c r="F27" s="55">
        <v>4976977.9000000004</v>
      </c>
      <c r="G27" s="55">
        <f>153703.2+392832.6+21444.3+29007+161100+22083.1+2365.9+7129.5+90000+75972.7+10150.80808+3500+28124.5+27164.1+2337.57576+20444.8+2530+1382.2+185087.8+9787.5+20000+3000+50000+164649.9+5000+43000+1394.3+45000+268818.1+539.1+33388.1+16560+39422+2473361.6+398.4+24982.4+6000+31218.6+93884.2+52813.7+25302.02021+60000+9008+4133.3</f>
        <v>4718021.3040500004</v>
      </c>
      <c r="H27" s="55">
        <f t="shared" ref="H27:H35" si="4">ROUND(G27/F27*100,1)</f>
        <v>94.8</v>
      </c>
      <c r="I27" s="57" t="s">
        <v>443</v>
      </c>
      <c r="J27" s="57" t="s">
        <v>122</v>
      </c>
      <c r="K27" s="56" t="s">
        <v>559</v>
      </c>
      <c r="L27" s="63" t="s">
        <v>591</v>
      </c>
      <c r="M27" s="63" t="s">
        <v>112</v>
      </c>
    </row>
    <row r="28" spans="1:14" s="7" customFormat="1" ht="15" customHeight="1">
      <c r="A28" s="228" t="s">
        <v>20</v>
      </c>
      <c r="B28" s="54" t="s">
        <v>412</v>
      </c>
      <c r="C28" s="51">
        <f t="shared" si="2"/>
        <v>2</v>
      </c>
      <c r="D28" s="74"/>
      <c r="E28" s="52">
        <f t="shared" si="3"/>
        <v>2</v>
      </c>
      <c r="F28" s="55">
        <v>6668136.9000000004</v>
      </c>
      <c r="G28" s="55">
        <f>658235.3+992852.8+38998.6+223932.7+50000+9361.3+862961.1+574654.7+48735.6+5929.3+62648.8+181528.8+325000+22398+39223.8+6700+10131.8+14249.2+91500.3+262346.4+25740+112423.2+229751.9+49575.4+25500+840177.2+343415.6+61891.5+54305.4+43694.9</f>
        <v>6267863.6000000015</v>
      </c>
      <c r="H28" s="55">
        <f t="shared" si="4"/>
        <v>94</v>
      </c>
      <c r="I28" s="57" t="s">
        <v>443</v>
      </c>
      <c r="J28" s="57" t="s">
        <v>122</v>
      </c>
      <c r="K28" s="56" t="s">
        <v>587</v>
      </c>
      <c r="L28" s="56" t="s">
        <v>572</v>
      </c>
      <c r="M28" s="63" t="s">
        <v>112</v>
      </c>
      <c r="N28" s="78"/>
    </row>
    <row r="29" spans="1:14" ht="15" customHeight="1">
      <c r="A29" s="228" t="s">
        <v>21</v>
      </c>
      <c r="B29" s="54" t="s">
        <v>412</v>
      </c>
      <c r="C29" s="51">
        <f t="shared" si="2"/>
        <v>2</v>
      </c>
      <c r="D29" s="74">
        <v>0.5</v>
      </c>
      <c r="E29" s="52">
        <f t="shared" si="3"/>
        <v>1</v>
      </c>
      <c r="F29" s="55">
        <f>11684122604.22/1000</f>
        <v>11684122.604219999</v>
      </c>
      <c r="G29" s="55">
        <f>(4768548158.09+5876111.94+4000000+701213101.24+803400+376280100+1799160+258898146.89+47189373.52+3582476471.48+47695911.11+24754500+23945000+5398400+1499999.76+10924490)/1000</f>
        <v>9861302.3240300007</v>
      </c>
      <c r="H29" s="55">
        <f t="shared" si="4"/>
        <v>84.4</v>
      </c>
      <c r="I29" s="57" t="s">
        <v>443</v>
      </c>
      <c r="J29" s="57" t="s">
        <v>123</v>
      </c>
      <c r="K29" s="56" t="s">
        <v>563</v>
      </c>
      <c r="L29" s="56" t="s">
        <v>592</v>
      </c>
      <c r="M29" s="63" t="s">
        <v>551</v>
      </c>
      <c r="N29" s="78" t="s">
        <v>112</v>
      </c>
    </row>
    <row r="30" spans="1:14" ht="15" customHeight="1">
      <c r="A30" s="228" t="s">
        <v>22</v>
      </c>
      <c r="B30" s="54" t="s">
        <v>412</v>
      </c>
      <c r="C30" s="51">
        <f t="shared" si="2"/>
        <v>2</v>
      </c>
      <c r="D30" s="74"/>
      <c r="E30" s="52">
        <f t="shared" si="3"/>
        <v>2</v>
      </c>
      <c r="F30" s="55">
        <v>13381062.1</v>
      </c>
      <c r="G30" s="55">
        <f>209807.4+293681.3+10400+69990+739846.7+609800.9+67456+21444.2+7949.8+6873+6180.7+66565.5+17443.5+11969.8+474498.6+54022+35685+25000+1242.7+19480.7+233758.1+24488.3+35869.6+32224.8+23603.6+10605.2+58479.2+40400+25000+20507.9+3300+1824100.2+84053.4+2957404.5+616000+147421.8+89783.6+1000+11633.2+9890+49888.1+35610+30000+49590+33705.3+835747.3+462445.6+35515+10700+10075.7+19462.1+32600+170391.4+41449.7+295029.1+225000+769147+37767.2+8500+51333.9+30000+18000+1100+6512.4+61308.9+2240+176032.2+93448.8+2800+19908+26063.7+4674.9+129623.3+14000+1100+104800+21190.7+18916.9+120767.7+36660</f>
        <v>13091966.1</v>
      </c>
      <c r="H30" s="55">
        <f t="shared" si="4"/>
        <v>97.8</v>
      </c>
      <c r="I30" s="57" t="s">
        <v>443</v>
      </c>
      <c r="J30" s="57" t="s">
        <v>122</v>
      </c>
      <c r="K30" s="56" t="s">
        <v>567</v>
      </c>
      <c r="L30" s="56" t="s">
        <v>562</v>
      </c>
      <c r="M30" s="203" t="s">
        <v>112</v>
      </c>
    </row>
    <row r="31" spans="1:14" ht="15" customHeight="1">
      <c r="A31" s="228" t="s">
        <v>23</v>
      </c>
      <c r="B31" s="54" t="s">
        <v>412</v>
      </c>
      <c r="C31" s="51">
        <f t="shared" si="2"/>
        <v>2</v>
      </c>
      <c r="D31" s="74">
        <v>0.5</v>
      </c>
      <c r="E31" s="52">
        <f t="shared" si="3"/>
        <v>1</v>
      </c>
      <c r="F31" s="55">
        <v>11304934.449999999</v>
      </c>
      <c r="G31" s="55">
        <f>(54716.646+95000+273101+30432.11+629227.024+200000+20000+26849.985+21444.23+24762.8+29388.97+107788.756+34887.02+34853.43+144060.073+8976.786+34014.286+4771.667+8656.143+7087.8+600+8000+145733+79214.401+509138.839+277142.078+8571.404+60000+315000+35650+283463.093+54220+22453.2+17021.15+372733.56+343415.51+549876.795+51159+10000+15000+5275)+5633835.85</f>
        <v>10587521.606000001</v>
      </c>
      <c r="H31" s="55">
        <f t="shared" si="4"/>
        <v>93.7</v>
      </c>
      <c r="I31" s="57" t="s">
        <v>443</v>
      </c>
      <c r="J31" s="57" t="s">
        <v>122</v>
      </c>
      <c r="K31" s="63" t="s">
        <v>569</v>
      </c>
      <c r="L31" s="56" t="s">
        <v>595</v>
      </c>
      <c r="M31" s="63" t="s">
        <v>650</v>
      </c>
      <c r="N31" s="78" t="s">
        <v>112</v>
      </c>
    </row>
    <row r="32" spans="1:14" ht="15" customHeight="1">
      <c r="A32" s="228" t="s">
        <v>24</v>
      </c>
      <c r="B32" s="54" t="s">
        <v>190</v>
      </c>
      <c r="C32" s="51">
        <f t="shared" si="2"/>
        <v>0</v>
      </c>
      <c r="D32" s="74"/>
      <c r="E32" s="52">
        <f t="shared" si="3"/>
        <v>0</v>
      </c>
      <c r="F32" s="55">
        <v>17353124.399999999</v>
      </c>
      <c r="G32" s="55">
        <f>200000+300000+208266.8+575.7+27121.4+53729.7+7084.4+6061.3+40773.4+144055.1+13995+851.7+11250+248804.3+25000+26530.4+80000+757738.9+1226.2+5067.5+16000+3000+18066+35734+6608.3+499478.7+94265.7+250000+208799.9+29055.6+9035+18678.4+72738.5+14962.4+34512.4+21444.2+58641.1+300000+27000</f>
        <v>3876152.0000000005</v>
      </c>
      <c r="H32" s="55">
        <f t="shared" si="4"/>
        <v>22.3</v>
      </c>
      <c r="I32" s="57" t="s">
        <v>443</v>
      </c>
      <c r="J32" s="57" t="s">
        <v>122</v>
      </c>
      <c r="K32" s="56" t="s">
        <v>572</v>
      </c>
      <c r="L32" s="56" t="s">
        <v>582</v>
      </c>
      <c r="M32" s="63" t="s">
        <v>556</v>
      </c>
      <c r="N32" s="78" t="s">
        <v>112</v>
      </c>
    </row>
    <row r="33" spans="1:14" ht="15" customHeight="1">
      <c r="A33" s="228" t="s">
        <v>25</v>
      </c>
      <c r="B33" s="54" t="s">
        <v>413</v>
      </c>
      <c r="C33" s="51">
        <f t="shared" si="2"/>
        <v>1</v>
      </c>
      <c r="D33" s="74"/>
      <c r="E33" s="52">
        <f t="shared" si="3"/>
        <v>1</v>
      </c>
      <c r="F33" s="55">
        <v>11570328.4</v>
      </c>
      <c r="G33" s="55">
        <v>6502189.4066000003</v>
      </c>
      <c r="H33" s="55">
        <f t="shared" si="4"/>
        <v>56.2</v>
      </c>
      <c r="I33" s="57" t="s">
        <v>443</v>
      </c>
      <c r="J33" s="57" t="s">
        <v>123</v>
      </c>
      <c r="K33" s="56" t="s">
        <v>564</v>
      </c>
      <c r="L33" s="56" t="s">
        <v>570</v>
      </c>
      <c r="M33" s="63" t="s">
        <v>672</v>
      </c>
      <c r="N33" s="78" t="s">
        <v>112</v>
      </c>
    </row>
    <row r="34" spans="1:14" ht="15" customHeight="1">
      <c r="A34" s="228" t="s">
        <v>26</v>
      </c>
      <c r="B34" s="54" t="s">
        <v>412</v>
      </c>
      <c r="C34" s="51">
        <f t="shared" si="2"/>
        <v>2</v>
      </c>
      <c r="D34" s="74"/>
      <c r="E34" s="52">
        <f t="shared" si="3"/>
        <v>2</v>
      </c>
      <c r="F34" s="55">
        <v>4853073.7630200004</v>
      </c>
      <c r="G34" s="55">
        <f>761660.4+22652.8+15000+32064.5+948.4+402495.37+300000+16931.47296+28773.3+428503+86104.7+325642.6+262577+6950.5+41429.9+246913.6+160162.9897+334731.672+20607.30102+666302.73716+106420.11872+3303.3865+842.1+8137.94+80846.77624+12874+40799.6+1179.8+2018.6+50000</f>
        <v>4466874.5642999988</v>
      </c>
      <c r="H34" s="55">
        <f t="shared" si="4"/>
        <v>92</v>
      </c>
      <c r="I34" s="57" t="s">
        <v>443</v>
      </c>
      <c r="J34" s="57" t="s">
        <v>122</v>
      </c>
      <c r="K34" s="56" t="s">
        <v>588</v>
      </c>
      <c r="L34" s="56" t="s">
        <v>582</v>
      </c>
      <c r="M34" s="63" t="s">
        <v>112</v>
      </c>
    </row>
    <row r="35" spans="1:14" ht="15" customHeight="1">
      <c r="A35" s="228" t="s">
        <v>27</v>
      </c>
      <c r="B35" s="54" t="s">
        <v>412</v>
      </c>
      <c r="C35" s="51">
        <f t="shared" si="2"/>
        <v>2</v>
      </c>
      <c r="D35" s="74"/>
      <c r="E35" s="52">
        <f t="shared" si="3"/>
        <v>2</v>
      </c>
      <c r="F35" s="55">
        <v>6834325</v>
      </c>
      <c r="G35" s="55">
        <f>91720+22924+156546+326667+428914+428164+20825+35484+120470+9762+371853+1308+600+3105+1582+1000+25960+374018+88212+299483+55055+3300+12921+10000+15835+1418+129653+19545+1000+150+2500+2000+7944+2000+34359+45205-3366+263490+6215+13502+5352+17000+8805+34955+28210+2000+12012+5026+1200+1000+1761959+118800+18500+10000+23820+8014+2000+2040+59774+164384+6513+430334+1904+13617+5500+25463+575125+5811+10000</f>
        <v>6790441</v>
      </c>
      <c r="H35" s="55">
        <f t="shared" si="4"/>
        <v>99.4</v>
      </c>
      <c r="I35" s="57" t="s">
        <v>443</v>
      </c>
      <c r="J35" s="57" t="s">
        <v>122</v>
      </c>
      <c r="K35" s="56" t="s">
        <v>589</v>
      </c>
      <c r="L35" s="56" t="s">
        <v>594</v>
      </c>
      <c r="M35" s="63" t="s">
        <v>112</v>
      </c>
    </row>
    <row r="36" spans="1:14" ht="15" customHeight="1">
      <c r="A36" s="228" t="s">
        <v>680</v>
      </c>
      <c r="B36" s="50" t="s">
        <v>671</v>
      </c>
      <c r="C36" s="197" t="s">
        <v>199</v>
      </c>
      <c r="D36" s="51"/>
      <c r="E36" s="197" t="s">
        <v>199</v>
      </c>
      <c r="F36" s="198" t="s">
        <v>112</v>
      </c>
      <c r="G36" s="198" t="s">
        <v>112</v>
      </c>
      <c r="H36" s="55" t="s">
        <v>112</v>
      </c>
      <c r="I36" s="63" t="s">
        <v>112</v>
      </c>
      <c r="J36" s="63" t="s">
        <v>112</v>
      </c>
      <c r="K36" s="63" t="s">
        <v>112</v>
      </c>
      <c r="L36" s="63" t="s">
        <v>112</v>
      </c>
      <c r="M36" s="63" t="s">
        <v>112</v>
      </c>
    </row>
    <row r="37" spans="1:14" ht="15" customHeight="1">
      <c r="A37" s="228" t="s">
        <v>28</v>
      </c>
      <c r="B37" s="54" t="s">
        <v>412</v>
      </c>
      <c r="C37" s="51">
        <f t="shared" si="2"/>
        <v>2</v>
      </c>
      <c r="D37" s="74"/>
      <c r="E37" s="52">
        <f t="shared" si="3"/>
        <v>2</v>
      </c>
      <c r="F37" s="55">
        <v>648749.30000000005</v>
      </c>
      <c r="G37" s="55">
        <f>648749.3-22000</f>
        <v>626749.30000000005</v>
      </c>
      <c r="H37" s="55">
        <f>ROUND(G37/F37*100,1)</f>
        <v>96.6</v>
      </c>
      <c r="I37" s="57" t="s">
        <v>443</v>
      </c>
      <c r="J37" s="57" t="s">
        <v>122</v>
      </c>
      <c r="K37" s="56" t="s">
        <v>590</v>
      </c>
      <c r="L37" s="56" t="s">
        <v>570</v>
      </c>
      <c r="M37" s="63" t="s">
        <v>112</v>
      </c>
    </row>
    <row r="38" spans="1:14" s="32" customFormat="1" ht="15" customHeight="1">
      <c r="A38" s="227" t="s">
        <v>29</v>
      </c>
      <c r="B38" s="106"/>
      <c r="C38" s="101"/>
      <c r="D38" s="128"/>
      <c r="E38" s="193"/>
      <c r="F38" s="199"/>
      <c r="G38" s="199"/>
      <c r="H38" s="62"/>
      <c r="I38" s="200"/>
      <c r="J38" s="200"/>
      <c r="K38" s="201"/>
      <c r="L38" s="201"/>
      <c r="M38" s="202"/>
      <c r="N38" s="78"/>
    </row>
    <row r="39" spans="1:14" s="36" customFormat="1" ht="15" customHeight="1">
      <c r="A39" s="228" t="s">
        <v>30</v>
      </c>
      <c r="B39" s="54" t="s">
        <v>412</v>
      </c>
      <c r="C39" s="51">
        <f t="shared" si="2"/>
        <v>2</v>
      </c>
      <c r="D39" s="74"/>
      <c r="E39" s="52">
        <f t="shared" ref="E39:E45" si="5">C39*(1-D39)</f>
        <v>2</v>
      </c>
      <c r="F39" s="55">
        <v>2896107.2</v>
      </c>
      <c r="G39" s="55">
        <v>2896107.2</v>
      </c>
      <c r="H39" s="55">
        <f>ROUND(G39/F39*100,1)</f>
        <v>100</v>
      </c>
      <c r="I39" s="57" t="s">
        <v>443</v>
      </c>
      <c r="J39" s="57" t="s">
        <v>122</v>
      </c>
      <c r="K39" s="56" t="s">
        <v>563</v>
      </c>
      <c r="L39" s="56" t="s">
        <v>599</v>
      </c>
      <c r="M39" s="63" t="s">
        <v>112</v>
      </c>
      <c r="N39" s="78"/>
    </row>
    <row r="40" spans="1:14" s="32" customFormat="1" ht="15" customHeight="1">
      <c r="A40" s="228" t="s">
        <v>31</v>
      </c>
      <c r="B40" s="54" t="s">
        <v>412</v>
      </c>
      <c r="C40" s="51">
        <f t="shared" si="2"/>
        <v>2</v>
      </c>
      <c r="D40" s="74"/>
      <c r="E40" s="52">
        <f t="shared" si="5"/>
        <v>2</v>
      </c>
      <c r="F40" s="55">
        <v>2190463.9</v>
      </c>
      <c r="G40" s="55">
        <f>5037.8+22883.8+62585.3+17447.4+2506.3+11573+168183.3+4461+1735.2+128243.9+142.1+36622.8+539000+85418.1+21000+351971.3+57993+45000+71553.6+283663.2+800+22303.8+42829.1+2046.2+27885</f>
        <v>2012885.2000000002</v>
      </c>
      <c r="H40" s="55">
        <f>ROUND(G40/F40*100,1)</f>
        <v>91.9</v>
      </c>
      <c r="I40" s="57" t="s">
        <v>443</v>
      </c>
      <c r="J40" s="57" t="s">
        <v>122</v>
      </c>
      <c r="K40" s="56" t="s">
        <v>596</v>
      </c>
      <c r="L40" s="56" t="s">
        <v>600</v>
      </c>
      <c r="M40" s="63" t="s">
        <v>112</v>
      </c>
      <c r="N40" s="78"/>
    </row>
    <row r="41" spans="1:14" s="32" customFormat="1" ht="15" customHeight="1">
      <c r="A41" s="228" t="s">
        <v>89</v>
      </c>
      <c r="B41" s="54" t="s">
        <v>412</v>
      </c>
      <c r="C41" s="51">
        <f t="shared" si="2"/>
        <v>2</v>
      </c>
      <c r="D41" s="74"/>
      <c r="E41" s="52">
        <f t="shared" si="5"/>
        <v>2</v>
      </c>
      <c r="F41" s="55">
        <f>11645959634.16/1000</f>
        <v>11645959.634159999</v>
      </c>
      <c r="G41" s="55">
        <f>(4567899528+9022021.58+23447476.42+50125274.84+36329213.37+162999502.05+961091735.64+5424709.94+1000000+9690202+1544717+654798020.21+125757553.49+77606916.15+104494993.93+28500000+68453578.86+47952315.47+89779231+124248298+1716840+528679203.51+5000000+7141587+229705405.58+82636800+67363200+15656783.92+38279286.03+12180840+1740120+553552240+1870864+75841782.3+52850596.5+2799621.82+5424281.5+602303710+3984490+17734239+9613768.18+2145000000)/1000</f>
        <v>11611240.94729</v>
      </c>
      <c r="H41" s="55">
        <f>ROUND(G41/F41*100,1)</f>
        <v>99.7</v>
      </c>
      <c r="I41" s="57" t="s">
        <v>443</v>
      </c>
      <c r="J41" s="57" t="s">
        <v>122</v>
      </c>
      <c r="K41" s="56" t="s">
        <v>597</v>
      </c>
      <c r="L41" s="56" t="s">
        <v>597</v>
      </c>
      <c r="M41" s="63" t="s">
        <v>112</v>
      </c>
      <c r="N41" s="78"/>
    </row>
    <row r="42" spans="1:14" s="32" customFormat="1" ht="15" customHeight="1">
      <c r="A42" s="228" t="s">
        <v>32</v>
      </c>
      <c r="B42" s="54" t="s">
        <v>412</v>
      </c>
      <c r="C42" s="51">
        <f t="shared" si="2"/>
        <v>2</v>
      </c>
      <c r="D42" s="74"/>
      <c r="E42" s="52">
        <f t="shared" si="5"/>
        <v>2</v>
      </c>
      <c r="F42" s="55">
        <v>31386406.300000001</v>
      </c>
      <c r="G42" s="195">
        <f>230499.4+3718124.5+242485.7+182613+569435+9165+197694.8+1589177.6+706177.3+6223085.7+525391.3+195618.8+116078.1+24610.2+52485.6+31485.3+5000+53939.3+172220.3+3666.5+45978.6+2055+100+74528.8+14338.2+218959+34978.2+94474.8+74296.1+2060550+170000+143547+40000+90334.3+11525.7+69923.9+400.5+669183.6+756055.4+740+510+2890+129414.8+70438.7+271796.1+100095.6+18578.3+250000+84435.4+1657051.9+46076.7+299976+62736+50775.2+7591396.6+186447.9+49135.8+61114.8+2422.8+21952.9+149222.8+309135.2</f>
        <v>30836525.999999996</v>
      </c>
      <c r="H42" s="55">
        <f>ROUND(G42/F42*100,1)</f>
        <v>98.2</v>
      </c>
      <c r="I42" s="57" t="s">
        <v>443</v>
      </c>
      <c r="J42" s="57" t="s">
        <v>122</v>
      </c>
      <c r="K42" s="63" t="s">
        <v>572</v>
      </c>
      <c r="L42" s="63" t="s">
        <v>593</v>
      </c>
      <c r="M42" s="63" t="s">
        <v>112</v>
      </c>
      <c r="N42" s="78"/>
    </row>
    <row r="43" spans="1:14" ht="15" customHeight="1">
      <c r="A43" s="228" t="s">
        <v>33</v>
      </c>
      <c r="B43" s="54" t="s">
        <v>412</v>
      </c>
      <c r="C43" s="51">
        <f t="shared" si="2"/>
        <v>2</v>
      </c>
      <c r="D43" s="74">
        <v>0.5</v>
      </c>
      <c r="E43" s="52">
        <f t="shared" si="5"/>
        <v>1</v>
      </c>
      <c r="F43" s="55">
        <f>4744158.6+149285+1548.5+3759.6+695.7+260</f>
        <v>4899707.3999999994</v>
      </c>
      <c r="G43" s="55">
        <f>4744158.6-13000+149285+1548.5+3759.6+695.7+260</f>
        <v>4886707.3999999994</v>
      </c>
      <c r="H43" s="55">
        <f>ROUND(G43/F43*100,1)</f>
        <v>99.7</v>
      </c>
      <c r="I43" s="57" t="s">
        <v>605</v>
      </c>
      <c r="J43" s="57" t="s">
        <v>122</v>
      </c>
      <c r="K43" s="57" t="s">
        <v>560</v>
      </c>
      <c r="L43" s="56" t="s">
        <v>601</v>
      </c>
      <c r="M43" s="63" t="s">
        <v>649</v>
      </c>
      <c r="N43" s="191" t="s">
        <v>112</v>
      </c>
    </row>
    <row r="44" spans="1:14" ht="15" customHeight="1">
      <c r="A44" s="228" t="s">
        <v>34</v>
      </c>
      <c r="B44" s="54" t="s">
        <v>190</v>
      </c>
      <c r="C44" s="51">
        <f t="shared" si="2"/>
        <v>0</v>
      </c>
      <c r="D44" s="74"/>
      <c r="E44" s="52">
        <f t="shared" si="5"/>
        <v>0</v>
      </c>
      <c r="F44" s="55" t="s">
        <v>441</v>
      </c>
      <c r="G44" s="55">
        <f>767768+46442.4+642000+24000+10160.5+4874.7+55000+5000+104888.7+18984.8+295000+33000+9446.4+47000+81000+124063.8+1044916.1+50681.9+12400.6+305661.9+112899+555923.2+887405+136000+1944683.9+100000+992772.2+38575.1+259695.1+88833.4+238421+9711.3+2152786.7+700988.2+35000+525410.5+367432.2+20000+10000+1014653.6+1937607+264000+8800+27613.4+19000</f>
        <v>16130500.599999998</v>
      </c>
      <c r="H44" s="55" t="s">
        <v>112</v>
      </c>
      <c r="I44" s="57" t="s">
        <v>441</v>
      </c>
      <c r="J44" s="57" t="s">
        <v>122</v>
      </c>
      <c r="K44" s="63" t="s">
        <v>598</v>
      </c>
      <c r="L44" s="56" t="s">
        <v>602</v>
      </c>
      <c r="M44" s="63" t="s">
        <v>651</v>
      </c>
      <c r="N44" s="78" t="s">
        <v>112</v>
      </c>
    </row>
    <row r="45" spans="1:14" s="32" customFormat="1" ht="15" customHeight="1">
      <c r="A45" s="228" t="s">
        <v>35</v>
      </c>
      <c r="B45" s="54" t="s">
        <v>412</v>
      </c>
      <c r="C45" s="51">
        <f t="shared" si="2"/>
        <v>2</v>
      </c>
      <c r="D45" s="74"/>
      <c r="E45" s="52">
        <f t="shared" si="5"/>
        <v>2</v>
      </c>
      <c r="F45" s="55">
        <v>40885487.399999999</v>
      </c>
      <c r="G45" s="55">
        <f>18950.9+278947.5+4251294.6+1550354+3161194+2705813.1+8049115.7+8377532.6+11047435.2+209975.3+15077.5+113715.2+73618.9+7641.7+15000+109918.2+47834.4+697582.5+154486.1</f>
        <v>40885487.399999999</v>
      </c>
      <c r="H45" s="55">
        <f>ROUND(G45/F45*100,1)</f>
        <v>100</v>
      </c>
      <c r="I45" s="57" t="s">
        <v>443</v>
      </c>
      <c r="J45" s="57" t="s">
        <v>122</v>
      </c>
      <c r="K45" s="63" t="s">
        <v>560</v>
      </c>
      <c r="L45" s="56" t="s">
        <v>603</v>
      </c>
      <c r="M45" s="63" t="s">
        <v>112</v>
      </c>
      <c r="N45" s="78"/>
    </row>
    <row r="46" spans="1:14" s="32" customFormat="1" ht="15" customHeight="1">
      <c r="A46" s="228" t="s">
        <v>423</v>
      </c>
      <c r="B46" s="50" t="s">
        <v>671</v>
      </c>
      <c r="C46" s="197" t="s">
        <v>199</v>
      </c>
      <c r="D46" s="51"/>
      <c r="E46" s="197" t="s">
        <v>199</v>
      </c>
      <c r="F46" s="198" t="s">
        <v>112</v>
      </c>
      <c r="G46" s="198" t="s">
        <v>112</v>
      </c>
      <c r="H46" s="55" t="s">
        <v>112</v>
      </c>
      <c r="I46" s="63" t="s">
        <v>112</v>
      </c>
      <c r="J46" s="63" t="s">
        <v>112</v>
      </c>
      <c r="K46" s="63" t="s">
        <v>112</v>
      </c>
      <c r="L46" s="63" t="s">
        <v>112</v>
      </c>
      <c r="M46" s="63" t="s">
        <v>112</v>
      </c>
      <c r="N46" s="78"/>
    </row>
    <row r="47" spans="1:14" s="32" customFormat="1" ht="15" customHeight="1">
      <c r="A47" s="227" t="s">
        <v>36</v>
      </c>
      <c r="B47" s="106"/>
      <c r="C47" s="101"/>
      <c r="D47" s="128"/>
      <c r="E47" s="193"/>
      <c r="F47" s="199"/>
      <c r="G47" s="199"/>
      <c r="H47" s="62"/>
      <c r="I47" s="200"/>
      <c r="J47" s="200"/>
      <c r="K47" s="201"/>
      <c r="L47" s="201"/>
      <c r="M47" s="202"/>
      <c r="N47" s="78"/>
    </row>
    <row r="48" spans="1:14" s="32" customFormat="1" ht="15" customHeight="1">
      <c r="A48" s="228" t="s">
        <v>37</v>
      </c>
      <c r="B48" s="54" t="s">
        <v>412</v>
      </c>
      <c r="C48" s="51">
        <f t="shared" ref="C48:C52" si="6">IF(B48="75 – 100 %",2,(IF(B48="50 – 74,9 %",1,0)))</f>
        <v>2</v>
      </c>
      <c r="D48" s="74">
        <v>0.5</v>
      </c>
      <c r="E48" s="52">
        <f t="shared" ref="E48:E54" si="7">C48*(1-D48)</f>
        <v>1</v>
      </c>
      <c r="F48" s="55">
        <v>21595499.100000001</v>
      </c>
      <c r="G48" s="55">
        <f>10391252.63+906648.384+2321319.86+23887.36842+31562.94737+69094.85+30000+150793.47368+41818.52632+8584.10526+19217.77778+818500+45000+1425644+3547580.901+805399.4</f>
        <v>20636304.223829996</v>
      </c>
      <c r="H48" s="55">
        <f>ROUND(G48/F48*100,1)</f>
        <v>95.6</v>
      </c>
      <c r="I48" s="204" t="s">
        <v>443</v>
      </c>
      <c r="J48" s="204" t="s">
        <v>123</v>
      </c>
      <c r="K48" s="56" t="s">
        <v>594</v>
      </c>
      <c r="L48" s="56" t="s">
        <v>609</v>
      </c>
      <c r="M48" s="54" t="s">
        <v>548</v>
      </c>
      <c r="N48" s="87" t="s">
        <v>112</v>
      </c>
    </row>
    <row r="49" spans="1:16" ht="15" customHeight="1">
      <c r="A49" s="228" t="s">
        <v>38</v>
      </c>
      <c r="B49" s="54" t="s">
        <v>190</v>
      </c>
      <c r="C49" s="51">
        <f t="shared" si="6"/>
        <v>0</v>
      </c>
      <c r="D49" s="74"/>
      <c r="E49" s="52">
        <f t="shared" si="7"/>
        <v>0</v>
      </c>
      <c r="F49" s="55">
        <f>36.7+1370.4+136639.4+11543.2+177519+263.2+1313.7+5000+5219.4</f>
        <v>338905.00000000006</v>
      </c>
      <c r="G49" s="55">
        <v>0</v>
      </c>
      <c r="H49" s="55">
        <v>0</v>
      </c>
      <c r="I49" s="57" t="s">
        <v>608</v>
      </c>
      <c r="J49" s="204" t="s">
        <v>112</v>
      </c>
      <c r="K49" s="56" t="s">
        <v>562</v>
      </c>
      <c r="L49" s="56" t="s">
        <v>112</v>
      </c>
      <c r="M49" s="63" t="s">
        <v>647</v>
      </c>
      <c r="N49" s="87" t="s">
        <v>112</v>
      </c>
    </row>
    <row r="50" spans="1:16" s="32" customFormat="1" ht="15" customHeight="1">
      <c r="A50" s="228" t="s">
        <v>39</v>
      </c>
      <c r="B50" s="54" t="s">
        <v>412</v>
      </c>
      <c r="C50" s="51">
        <f t="shared" si="6"/>
        <v>2</v>
      </c>
      <c r="D50" s="74"/>
      <c r="E50" s="52">
        <f t="shared" si="7"/>
        <v>2</v>
      </c>
      <c r="F50" s="55">
        <v>2278635.7999999998</v>
      </c>
      <c r="G50" s="55">
        <v>2077981.8</v>
      </c>
      <c r="H50" s="55">
        <f>ROUND(G50/F50*100,1)</f>
        <v>91.2</v>
      </c>
      <c r="I50" s="57" t="s">
        <v>443</v>
      </c>
      <c r="J50" s="57" t="s">
        <v>122</v>
      </c>
      <c r="K50" s="56" t="s">
        <v>572</v>
      </c>
      <c r="L50" s="56" t="s">
        <v>610</v>
      </c>
      <c r="M50" s="63" t="s">
        <v>112</v>
      </c>
      <c r="N50" s="87"/>
    </row>
    <row r="51" spans="1:16" ht="15" customHeight="1">
      <c r="A51" s="228" t="s">
        <v>40</v>
      </c>
      <c r="B51" s="54" t="s">
        <v>190</v>
      </c>
      <c r="C51" s="51">
        <f t="shared" si="6"/>
        <v>0</v>
      </c>
      <c r="D51" s="74"/>
      <c r="E51" s="52">
        <f t="shared" si="7"/>
        <v>0</v>
      </c>
      <c r="F51" s="55">
        <v>1552035.7</v>
      </c>
      <c r="G51" s="55">
        <f>3026.3+259372.9+289826.8</f>
        <v>552226</v>
      </c>
      <c r="H51" s="55">
        <f>ROUND(G51/F51*100,1)</f>
        <v>35.6</v>
      </c>
      <c r="I51" s="57" t="s">
        <v>443</v>
      </c>
      <c r="J51" s="57" t="s">
        <v>122</v>
      </c>
      <c r="K51" s="56" t="s">
        <v>227</v>
      </c>
      <c r="L51" s="56" t="s">
        <v>570</v>
      </c>
      <c r="M51" s="63" t="s">
        <v>556</v>
      </c>
      <c r="N51" s="87" t="s">
        <v>112</v>
      </c>
      <c r="O51" s="76"/>
      <c r="P51" s="76"/>
    </row>
    <row r="52" spans="1:16" s="32" customFormat="1" ht="15" customHeight="1">
      <c r="A52" s="228" t="s">
        <v>681</v>
      </c>
      <c r="B52" s="54" t="s">
        <v>433</v>
      </c>
      <c r="C52" s="51">
        <f t="shared" si="6"/>
        <v>0</v>
      </c>
      <c r="D52" s="74"/>
      <c r="E52" s="52">
        <f t="shared" si="7"/>
        <v>0</v>
      </c>
      <c r="F52" s="55">
        <v>1030211.3</v>
      </c>
      <c r="G52" s="55">
        <f>343573.5+106.3+183691.1+100000+9558.1+5045.6+1873.9+7888.8+257.7+21000+384036</f>
        <v>1057031</v>
      </c>
      <c r="H52" s="55">
        <f>ROUND(G52/F52*100,1)</f>
        <v>102.6</v>
      </c>
      <c r="I52" s="204" t="s">
        <v>443</v>
      </c>
      <c r="J52" s="204" t="s">
        <v>123</v>
      </c>
      <c r="K52" s="56" t="s">
        <v>570</v>
      </c>
      <c r="L52" s="63" t="s">
        <v>611</v>
      </c>
      <c r="M52" s="63" t="s">
        <v>614</v>
      </c>
      <c r="N52" s="87" t="s">
        <v>112</v>
      </c>
      <c r="O52" s="77"/>
      <c r="P52" s="76"/>
    </row>
    <row r="53" spans="1:16" ht="15" customHeight="1">
      <c r="A53" s="228" t="s">
        <v>41</v>
      </c>
      <c r="B53" s="205" t="s">
        <v>412</v>
      </c>
      <c r="C53" s="51">
        <f t="shared" ref="C53:C99" si="8">IF(B53="75 – 100 %",2,(IF(B53="50 – 74,9 %",1,0)))</f>
        <v>2</v>
      </c>
      <c r="D53" s="74"/>
      <c r="E53" s="52">
        <f t="shared" si="7"/>
        <v>2</v>
      </c>
      <c r="F53" s="55">
        <v>3277827.8</v>
      </c>
      <c r="G53" s="55">
        <f>72311.1+193738.6+3587.9+1523787.3+426788.6+531000+396614.3</f>
        <v>3147827.8</v>
      </c>
      <c r="H53" s="55">
        <f>ROUND(G53/F53*100,1)</f>
        <v>96</v>
      </c>
      <c r="I53" s="57" t="s">
        <v>443</v>
      </c>
      <c r="J53" s="57" t="s">
        <v>122</v>
      </c>
      <c r="K53" s="56" t="s">
        <v>560</v>
      </c>
      <c r="L53" s="63" t="s">
        <v>612</v>
      </c>
      <c r="M53" s="63" t="s">
        <v>112</v>
      </c>
      <c r="O53" s="76"/>
      <c r="P53" s="76"/>
    </row>
    <row r="54" spans="1:16" ht="15" customHeight="1">
      <c r="A54" s="228" t="s">
        <v>42</v>
      </c>
      <c r="B54" s="54" t="s">
        <v>412</v>
      </c>
      <c r="C54" s="51">
        <f t="shared" si="8"/>
        <v>2</v>
      </c>
      <c r="D54" s="74"/>
      <c r="E54" s="52">
        <f t="shared" si="7"/>
        <v>2</v>
      </c>
      <c r="F54" s="55">
        <v>17036287.809999999</v>
      </c>
      <c r="G54" s="55">
        <f>554526.49+729957.03+293374.78+37593.94+1141396.06+628924.54+111718.21+4112.42+3300+378463.26+501943.34+1416740.68+17259.67+451873.7+106490.13+250976.14+119593.88+166044.19+803613.73+19455.74+33984.31+99517.91+69520.51+165160.97+612.89+21444.24+124229.9+9974.79+1300000+1576617.97+825147.4+34662.97+41292.59+345403.34+2865806.54+21992.92+681842.97</f>
        <v>15954570.150000002</v>
      </c>
      <c r="H54" s="55">
        <f>ROUND(G54/F54*100,1)</f>
        <v>93.7</v>
      </c>
      <c r="I54" s="57" t="s">
        <v>443</v>
      </c>
      <c r="J54" s="57" t="s">
        <v>122</v>
      </c>
      <c r="K54" s="56" t="s">
        <v>593</v>
      </c>
      <c r="L54" s="63" t="s">
        <v>613</v>
      </c>
      <c r="M54" s="63" t="s">
        <v>112</v>
      </c>
      <c r="O54" s="76"/>
      <c r="P54" s="76"/>
    </row>
    <row r="55" spans="1:16" ht="15" customHeight="1">
      <c r="A55" s="227" t="s">
        <v>43</v>
      </c>
      <c r="B55" s="106"/>
      <c r="C55" s="101"/>
      <c r="D55" s="128"/>
      <c r="E55" s="193"/>
      <c r="F55" s="199"/>
      <c r="G55" s="199"/>
      <c r="H55" s="62"/>
      <c r="I55" s="200"/>
      <c r="J55" s="200"/>
      <c r="K55" s="201"/>
      <c r="L55" s="201"/>
      <c r="M55" s="202"/>
      <c r="O55" s="76"/>
      <c r="P55" s="76"/>
    </row>
    <row r="56" spans="1:16" ht="15" customHeight="1">
      <c r="A56" s="228" t="s">
        <v>44</v>
      </c>
      <c r="B56" s="54" t="s">
        <v>412</v>
      </c>
      <c r="C56" s="51">
        <f t="shared" si="8"/>
        <v>2</v>
      </c>
      <c r="D56" s="74"/>
      <c r="E56" s="52">
        <f t="shared" ref="E56:E69" si="9">C56*(1-D56)</f>
        <v>2</v>
      </c>
      <c r="F56" s="55">
        <f>25903123981.44/1000</f>
        <v>25903123.98144</v>
      </c>
      <c r="G56" s="55">
        <f>(239602700+8581000+442658284.2+232037900+91824631.2+2266142737.39+98000000+200000000+1032919300+25850612.25+49937959.19+3050000000+4918424000+1000000000+1263758367.35+218780100+86414900+496499669+244690300+398549790+186747117.48+439310522.93+224932000+1328489300+49038400+100000000+146528093.02+8162006.12+54736309.53+336062400+164750277.15+3322813562.3+353024015.94+32163126.39+1008079100+40000000+29155600+21783700+117650200)/1000</f>
        <v>24328097.981439997</v>
      </c>
      <c r="H56" s="55">
        <f>ROUND(G56/F56*100,1)</f>
        <v>93.9</v>
      </c>
      <c r="I56" s="57" t="s">
        <v>443</v>
      </c>
      <c r="J56" s="57" t="s">
        <v>122</v>
      </c>
      <c r="K56" s="56" t="s">
        <v>615</v>
      </c>
      <c r="L56" s="56" t="s">
        <v>618</v>
      </c>
      <c r="M56" s="63" t="s">
        <v>112</v>
      </c>
      <c r="O56" s="76"/>
      <c r="P56" s="76"/>
    </row>
    <row r="57" spans="1:16" s="32" customFormat="1" ht="15" customHeight="1">
      <c r="A57" s="228" t="s">
        <v>682</v>
      </c>
      <c r="B57" s="54" t="s">
        <v>412</v>
      </c>
      <c r="C57" s="51">
        <f t="shared" si="8"/>
        <v>2</v>
      </c>
      <c r="D57" s="74"/>
      <c r="E57" s="52">
        <f t="shared" si="9"/>
        <v>2</v>
      </c>
      <c r="F57" s="55">
        <v>3769441.6</v>
      </c>
      <c r="G57" s="55">
        <f>99199.9+24509.179+24951.95283+302.33+15994.18367+12304.74747+58405.72743+39693.77551+118505.714+221766.83673+360897.00144+315592.6+10441+133788.33582+139642.1+1528050.02279+2231.64778+178982.552+11254.08163+402120.281+4990+34945.01729+15381.297+11966.67+3524.69388</f>
        <v>3769441.6472700001</v>
      </c>
      <c r="H57" s="55">
        <f>ROUND(G57/F57*100,1)</f>
        <v>100</v>
      </c>
      <c r="I57" s="57" t="s">
        <v>443</v>
      </c>
      <c r="J57" s="57" t="s">
        <v>122</v>
      </c>
      <c r="K57" s="56" t="s">
        <v>561</v>
      </c>
      <c r="L57" s="56" t="s">
        <v>588</v>
      </c>
      <c r="M57" s="63" t="s">
        <v>112</v>
      </c>
      <c r="N57" s="78"/>
      <c r="O57" s="76"/>
      <c r="P57" s="76"/>
    </row>
    <row r="58" spans="1:16" s="32" customFormat="1" ht="15" customHeight="1">
      <c r="A58" s="228" t="s">
        <v>45</v>
      </c>
      <c r="B58" s="54" t="s">
        <v>413</v>
      </c>
      <c r="C58" s="51">
        <f t="shared" si="8"/>
        <v>1</v>
      </c>
      <c r="D58" s="74">
        <v>0.5</v>
      </c>
      <c r="E58" s="52">
        <f t="shared" si="9"/>
        <v>0.5</v>
      </c>
      <c r="F58" s="55">
        <v>5922112.0999999996</v>
      </c>
      <c r="G58" s="195">
        <f>49515.6+22327.1+85446.9+2022987.4+213801.2+29994+6081.4+90351.7+276523.8+290527.3+61098.4</f>
        <v>3148654.8</v>
      </c>
      <c r="H58" s="55">
        <f>ROUND(G58/F58*100,1)</f>
        <v>53.2</v>
      </c>
      <c r="I58" s="57" t="s">
        <v>443</v>
      </c>
      <c r="J58" s="57" t="s">
        <v>123</v>
      </c>
      <c r="K58" s="56" t="s">
        <v>566</v>
      </c>
      <c r="L58" s="56" t="s">
        <v>619</v>
      </c>
      <c r="M58" s="63" t="s">
        <v>552</v>
      </c>
      <c r="N58" s="78" t="s">
        <v>112</v>
      </c>
      <c r="O58" s="76"/>
      <c r="P58" s="76"/>
    </row>
    <row r="59" spans="1:16" s="32" customFormat="1" ht="15" customHeight="1">
      <c r="A59" s="228" t="s">
        <v>46</v>
      </c>
      <c r="B59" s="54" t="s">
        <v>190</v>
      </c>
      <c r="C59" s="51">
        <f t="shared" si="8"/>
        <v>0</v>
      </c>
      <c r="D59" s="74"/>
      <c r="E59" s="52">
        <f t="shared" si="9"/>
        <v>0</v>
      </c>
      <c r="F59" s="55" t="s">
        <v>441</v>
      </c>
      <c r="G59" s="195">
        <f>1477646.7+18605161.7+857624.3+1357211.5+81274.1+25000+127346.7+84720.1</f>
        <v>22615985.100000001</v>
      </c>
      <c r="H59" s="55" t="s">
        <v>112</v>
      </c>
      <c r="I59" s="57" t="s">
        <v>441</v>
      </c>
      <c r="J59" s="57" t="s">
        <v>122</v>
      </c>
      <c r="K59" s="56" t="s">
        <v>121</v>
      </c>
      <c r="L59" s="56" t="s">
        <v>620</v>
      </c>
      <c r="M59" s="63" t="s">
        <v>652</v>
      </c>
      <c r="N59" s="78" t="s">
        <v>112</v>
      </c>
      <c r="O59" s="77"/>
      <c r="P59" s="76"/>
    </row>
    <row r="60" spans="1:16" s="32" customFormat="1" ht="15" customHeight="1">
      <c r="A60" s="228" t="s">
        <v>47</v>
      </c>
      <c r="B60" s="54" t="s">
        <v>412</v>
      </c>
      <c r="C60" s="51">
        <f t="shared" si="8"/>
        <v>2</v>
      </c>
      <c r="D60" s="74"/>
      <c r="E60" s="52">
        <f t="shared" si="9"/>
        <v>2</v>
      </c>
      <c r="F60" s="55">
        <v>8654348.8000000007</v>
      </c>
      <c r="G60" s="55">
        <f>5711+619735.9+40810.5+169392.9+19138.1+539474.4+1051260.7+36500+130467.9+166874.7+1024628.7+275106.8+44051.6+459223.1+166301.4+90698.7+910125.6+155289.7+3904.9+3481.2+43966.8+523.3+262963+415571.8+5580.9+6178.6+25660.4+20000+9000+82084.6+811228.3+41283.2</f>
        <v>7636218.7000000002</v>
      </c>
      <c r="H60" s="55">
        <f t="shared" ref="H60:H69" si="10">ROUND(G60/F60*100,1)</f>
        <v>88.2</v>
      </c>
      <c r="I60" s="57" t="s">
        <v>443</v>
      </c>
      <c r="J60" s="57" t="s">
        <v>122</v>
      </c>
      <c r="K60" s="56" t="s">
        <v>562</v>
      </c>
      <c r="L60" s="56" t="s">
        <v>558</v>
      </c>
      <c r="M60" s="63" t="s">
        <v>112</v>
      </c>
      <c r="N60" s="78"/>
      <c r="O60" s="76"/>
      <c r="P60" s="76"/>
    </row>
    <row r="61" spans="1:16" ht="15" customHeight="1">
      <c r="A61" s="228" t="s">
        <v>683</v>
      </c>
      <c r="B61" s="54" t="s">
        <v>412</v>
      </c>
      <c r="C61" s="51">
        <f t="shared" si="8"/>
        <v>2</v>
      </c>
      <c r="D61" s="74"/>
      <c r="E61" s="52">
        <f t="shared" si="9"/>
        <v>2</v>
      </c>
      <c r="F61" s="55">
        <v>7901482.2999999998</v>
      </c>
      <c r="G61" s="55">
        <f>365000+335000+210000+90000+100000+80000+1106075+100000+122016.2+631605.2+29309.3+9384+99897.7+170200+290705.7+670.6+6500+15770+21337.1+7706.5+11640.6+70000+10000+27331.2+429597.5+8045+263650.4+29933.1+27059.7+598701.9+557406.5+9957.1+124924.2+53820.4+22547.6+348342.5+4497.2+15791.5+55314.5+10558.6+36499.4+19169.4+145311+300000+203484+53.5</f>
        <v>7174814.1000000024</v>
      </c>
      <c r="H61" s="55">
        <f t="shared" si="10"/>
        <v>90.8</v>
      </c>
      <c r="I61" s="57" t="s">
        <v>443</v>
      </c>
      <c r="J61" s="57" t="s">
        <v>122</v>
      </c>
      <c r="K61" s="56" t="s">
        <v>563</v>
      </c>
      <c r="L61" s="56" t="s">
        <v>593</v>
      </c>
      <c r="M61" s="63" t="s">
        <v>112</v>
      </c>
      <c r="O61" s="76"/>
    </row>
    <row r="62" spans="1:16" s="32" customFormat="1" ht="14.5" customHeight="1">
      <c r="A62" s="228" t="s">
        <v>48</v>
      </c>
      <c r="B62" s="54" t="s">
        <v>412</v>
      </c>
      <c r="C62" s="51">
        <f t="shared" si="8"/>
        <v>2</v>
      </c>
      <c r="D62" s="74"/>
      <c r="E62" s="52">
        <f t="shared" si="9"/>
        <v>2</v>
      </c>
      <c r="F62" s="55">
        <v>17034209.5</v>
      </c>
      <c r="G62" s="195">
        <f>538522.2+1080102.6+7993.7+2191478.8+46643.1+100000+11839+66468.9+7838+212981.9+14043.4+52500+201441.6+22750+135094.5+3708138.9+72174.8+24336.7+82000+261998.6+746468.2+95350.6+4830.9+3931.9+42822.2+38104.8+306967.1+97148.6+886194.8+2410502.9+281615.3+150000+28369.5+1764.7-42711.3-2959.7-60000-16250-23566.5-320379.6</f>
        <v>13466551.1</v>
      </c>
      <c r="H62" s="55">
        <f t="shared" si="10"/>
        <v>79.099999999999994</v>
      </c>
      <c r="I62" s="57" t="s">
        <v>443</v>
      </c>
      <c r="J62" s="57" t="s">
        <v>122</v>
      </c>
      <c r="K62" s="56" t="s">
        <v>559</v>
      </c>
      <c r="L62" s="56" t="s">
        <v>570</v>
      </c>
      <c r="M62" s="63" t="s">
        <v>112</v>
      </c>
      <c r="N62" s="78"/>
    </row>
    <row r="63" spans="1:16" s="32" customFormat="1" ht="14.5" customHeight="1">
      <c r="A63" s="228" t="s">
        <v>49</v>
      </c>
      <c r="B63" s="54" t="s">
        <v>413</v>
      </c>
      <c r="C63" s="51">
        <f t="shared" si="8"/>
        <v>1</v>
      </c>
      <c r="D63" s="74"/>
      <c r="E63" s="52">
        <f t="shared" si="9"/>
        <v>1</v>
      </c>
      <c r="F63" s="195">
        <v>11140461.199999999</v>
      </c>
      <c r="G63" s="195">
        <f>55583+24171.6+44803.7+9172.3+24728.5+498260.4+18600+21357.1+15153.3+140824.1+4248+1634710.6+20000+40000+358335.7+265439.4+2453109.9+1203994+200001+80045.7+367543.1+49298.9+166078.2+75371.7+30476.8+39810.1+62806.1+15113.3+3062.2+4127.5+2515.5</f>
        <v>7928741.6999999993</v>
      </c>
      <c r="H63" s="55">
        <f t="shared" si="10"/>
        <v>71.2</v>
      </c>
      <c r="I63" s="57" t="s">
        <v>443</v>
      </c>
      <c r="J63" s="57" t="s">
        <v>122</v>
      </c>
      <c r="K63" s="56" t="s">
        <v>227</v>
      </c>
      <c r="L63" s="56" t="s">
        <v>621</v>
      </c>
      <c r="M63" s="63" t="s">
        <v>112</v>
      </c>
      <c r="N63" s="78"/>
    </row>
    <row r="64" spans="1:16" s="32" customFormat="1" ht="14.5" customHeight="1">
      <c r="A64" s="228" t="s">
        <v>684</v>
      </c>
      <c r="B64" s="54" t="s">
        <v>412</v>
      </c>
      <c r="C64" s="51">
        <f t="shared" si="8"/>
        <v>2</v>
      </c>
      <c r="D64" s="74"/>
      <c r="E64" s="52">
        <f t="shared" si="9"/>
        <v>2</v>
      </c>
      <c r="F64" s="55">
        <v>28989744</v>
      </c>
      <c r="G64" s="55">
        <f>2740643+2736+431790.4+86760.1+31183.1+9847.3+26028+8219.4+156062.9+35809.4+16757.1+7181.7+9294.4+2935.1+2287.1+722.2+59907.8+5504.7+1738.3+600000+275777.1+125495.6+71281.1+20625+99709+4154.5+762472+467666.4+1184813.1+374151.5+9531.4+397.1+107102.9+4462.6+101268.8+4219.5+158454.2+50038.2+24362.9+1015.2+280784.3+11699.6+1369285.5+87600+2970+1156403.1+276377.2+1038026.7+43420.5+1809.3+1279305.4+118225.8+130599+5441.6+59279.2+134463.5+3570251.1+103700.5+6950+24800+2001822.9+857.2+270.7+989483.2+41228.5+12942.3+80091+1000000+250000+447341.7+14892.8+3736035.1+121070.2+10866.8+1516.2+22828.3+68525.8+15276.2+22852.8+80180+87614+27667.6+280000+21780+1980+1979.2+200000+1188</f>
        <v>27324088.899999999</v>
      </c>
      <c r="H64" s="55">
        <f t="shared" si="10"/>
        <v>94.3</v>
      </c>
      <c r="I64" s="57" t="s">
        <v>443</v>
      </c>
      <c r="J64" s="57" t="s">
        <v>122</v>
      </c>
      <c r="K64" s="56" t="s">
        <v>616</v>
      </c>
      <c r="L64" s="56" t="s">
        <v>562</v>
      </c>
      <c r="M64" s="63" t="s">
        <v>112</v>
      </c>
      <c r="N64" s="78"/>
    </row>
    <row r="65" spans="1:14" s="32" customFormat="1" ht="15" customHeight="1">
      <c r="A65" s="228" t="s">
        <v>51</v>
      </c>
      <c r="B65" s="54" t="s">
        <v>412</v>
      </c>
      <c r="C65" s="51">
        <f t="shared" si="8"/>
        <v>2</v>
      </c>
      <c r="D65" s="74"/>
      <c r="E65" s="52">
        <f t="shared" si="9"/>
        <v>2</v>
      </c>
      <c r="F65" s="55">
        <v>14422016.1</v>
      </c>
      <c r="G65" s="55">
        <f>100000+1500000+245585.5+1159037.9+270000+620618.4+1462200+110801.8+445667.1+290769.2+21533.5+1076153.3+226204+41037.1+57139.5+27742.2+45369.4+13140.5+9010+61332.1+210993.3+3412.7+567709.1+4434.5+423351.5+72383+20000+120615.9+50000+50000+278881.6+960288.9-0.053+1083693.6+169731.9+1097.6+43522.1+651800+49684.4+118816.7+110000+49654.4+8639.7+53942.5+52559.2+38796.6+49684.4+138368.5-0.009-54624</f>
        <v>13110779.537999999</v>
      </c>
      <c r="H65" s="55">
        <f t="shared" si="10"/>
        <v>90.9</v>
      </c>
      <c r="I65" s="57" t="s">
        <v>443</v>
      </c>
      <c r="J65" s="57" t="s">
        <v>122</v>
      </c>
      <c r="K65" s="56" t="s">
        <v>570</v>
      </c>
      <c r="L65" s="56" t="s">
        <v>582</v>
      </c>
      <c r="M65" s="63" t="s">
        <v>112</v>
      </c>
      <c r="N65" s="78"/>
    </row>
    <row r="66" spans="1:14" s="32" customFormat="1" ht="15" customHeight="1">
      <c r="A66" s="228" t="s">
        <v>52</v>
      </c>
      <c r="B66" s="54" t="s">
        <v>412</v>
      </c>
      <c r="C66" s="51">
        <f t="shared" si="8"/>
        <v>2</v>
      </c>
      <c r="D66" s="74"/>
      <c r="E66" s="52">
        <f t="shared" si="9"/>
        <v>2</v>
      </c>
      <c r="F66" s="55">
        <v>7654468.7999999998</v>
      </c>
      <c r="G66" s="55">
        <f>377145.1+174958.8+323241.6+39986.2+10799.6+25631+2939.5+82553.9+348967.9+55977.7+98606.4+535208.2+13246.4+63989.4+715691.6+5614.2+459343.2+121006.9+30159.2+646821.2+973533+7984.8+6000+1257965+23200+5000+193067.7+119396.4+78679.7+9310+5000+51500+950+500+31223.1+71636+1320.3+661049.3</f>
        <v>7629203.2999999998</v>
      </c>
      <c r="H66" s="55">
        <f t="shared" si="10"/>
        <v>99.7</v>
      </c>
      <c r="I66" s="57" t="s">
        <v>443</v>
      </c>
      <c r="J66" s="57" t="s">
        <v>122</v>
      </c>
      <c r="K66" s="56" t="s">
        <v>572</v>
      </c>
      <c r="L66" s="56" t="s">
        <v>622</v>
      </c>
      <c r="M66" s="63" t="s">
        <v>112</v>
      </c>
      <c r="N66" s="78"/>
    </row>
    <row r="67" spans="1:14" ht="15" customHeight="1">
      <c r="A67" s="228" t="s">
        <v>53</v>
      </c>
      <c r="B67" s="205" t="s">
        <v>412</v>
      </c>
      <c r="C67" s="51">
        <f t="shared" si="8"/>
        <v>2</v>
      </c>
      <c r="D67" s="74"/>
      <c r="E67" s="52">
        <f t="shared" si="9"/>
        <v>2</v>
      </c>
      <c r="F67" s="55">
        <v>17004790</v>
      </c>
      <c r="G67" s="55">
        <f>10132+8848+1780000+229680+128060+41845+135551+200385+75306+61416+3380+24497+103665+43393+161072+76723+544700+3229+981289+1683+2100+1588+40359+2012+452595+3281+99248+4468+234758+11638+61942+29042+57429+1719464+12500+78923+123433+665411+182337+2926+375+1151372+3033402+303455+772406+5000+16534+27154+132138+20000+20000+11548+465275+22802+204518+72026+211656+583+73400+39206+2240+763262+79073+14926+105585+33829+405+7209+6375+3757+643838+17119+8632+9672+58931</f>
        <v>16738011</v>
      </c>
      <c r="H67" s="55">
        <f t="shared" si="10"/>
        <v>98.4</v>
      </c>
      <c r="I67" s="57" t="s">
        <v>443</v>
      </c>
      <c r="J67" s="57" t="s">
        <v>122</v>
      </c>
      <c r="K67" s="56" t="s">
        <v>616</v>
      </c>
      <c r="L67" s="56" t="s">
        <v>623</v>
      </c>
      <c r="M67" s="63" t="s">
        <v>112</v>
      </c>
    </row>
    <row r="68" spans="1:14" s="32" customFormat="1" ht="15" customHeight="1">
      <c r="A68" s="228" t="s">
        <v>54</v>
      </c>
      <c r="B68" s="54" t="s">
        <v>412</v>
      </c>
      <c r="C68" s="51">
        <f t="shared" si="8"/>
        <v>2</v>
      </c>
      <c r="D68" s="74"/>
      <c r="E68" s="52">
        <f t="shared" si="9"/>
        <v>2</v>
      </c>
      <c r="F68" s="55">
        <v>8691587.0999999996</v>
      </c>
      <c r="G68" s="55">
        <f>5300+1565481+746000+300000+1332228.3+3181.9+196651.8+7998.2+21444.2+4580.1+19694.4+364196.2+169620.1+19249.2+270933.6+16678.8+17443.5+991426+103537.2+72454.8+196664.5+33126.4+48011.2+15060.11236+36826.658+34631.663+6160.56179+5763.03371+7478.3+615971.9+44510.9+475429.8+5490.3+1500+14725.7+23915.2+5615.9+59232.5+693373.1</f>
        <v>8551587.0288600009</v>
      </c>
      <c r="H68" s="55">
        <f t="shared" si="10"/>
        <v>98.4</v>
      </c>
      <c r="I68" s="57" t="s">
        <v>443</v>
      </c>
      <c r="J68" s="57" t="s">
        <v>122</v>
      </c>
      <c r="K68" s="56" t="s">
        <v>617</v>
      </c>
      <c r="L68" s="56" t="s">
        <v>572</v>
      </c>
      <c r="M68" s="63" t="s">
        <v>112</v>
      </c>
      <c r="N68" s="78"/>
    </row>
    <row r="69" spans="1:14" s="32" customFormat="1" ht="15" customHeight="1">
      <c r="A69" s="228" t="s">
        <v>55</v>
      </c>
      <c r="B69" s="54" t="s">
        <v>412</v>
      </c>
      <c r="C69" s="51">
        <f t="shared" si="8"/>
        <v>2</v>
      </c>
      <c r="D69" s="74">
        <v>0.5</v>
      </c>
      <c r="E69" s="52">
        <f t="shared" si="9"/>
        <v>1</v>
      </c>
      <c r="F69" s="55">
        <v>5139498.1764500001</v>
      </c>
      <c r="G69" s="55">
        <f>30466.3+60637.4+6916+6473.8+21839.9+4028.2+9886.1+5000+1000+5119.25+2681.2+4166.5+30328.4+329347.62887+355000+145672.41+2104.1+49703.55+2000+6000+15476.97+7459.4+120000+990293.82023+69537+28978.31183+118571.63383+910098.65+854490.73+21459.625+1100+138257.83764+8123.7+2500+49500+1000+2696.375+42127.62887+521118.9+8775.56701+722.6+5000+1000+60956.8</f>
        <v>5057616.28828</v>
      </c>
      <c r="H69" s="55">
        <f t="shared" si="10"/>
        <v>98.4</v>
      </c>
      <c r="I69" s="57" t="s">
        <v>443</v>
      </c>
      <c r="J69" s="57" t="s">
        <v>123</v>
      </c>
      <c r="K69" s="56" t="s">
        <v>566</v>
      </c>
      <c r="L69" s="56" t="s">
        <v>624</v>
      </c>
      <c r="M69" s="63" t="s">
        <v>553</v>
      </c>
      <c r="N69" s="78" t="s">
        <v>112</v>
      </c>
    </row>
    <row r="70" spans="1:14" ht="15" customHeight="1">
      <c r="A70" s="227" t="s">
        <v>56</v>
      </c>
      <c r="B70" s="106"/>
      <c r="C70" s="101"/>
      <c r="D70" s="128"/>
      <c r="E70" s="193"/>
      <c r="F70" s="199"/>
      <c r="G70" s="199"/>
      <c r="H70" s="62"/>
      <c r="I70" s="200"/>
      <c r="J70" s="200"/>
      <c r="K70" s="201"/>
      <c r="L70" s="201"/>
      <c r="M70" s="202"/>
    </row>
    <row r="71" spans="1:14" ht="15" customHeight="1">
      <c r="A71" s="228" t="s">
        <v>57</v>
      </c>
      <c r="B71" s="54" t="s">
        <v>413</v>
      </c>
      <c r="C71" s="51">
        <f t="shared" si="8"/>
        <v>1</v>
      </c>
      <c r="D71" s="74"/>
      <c r="E71" s="52">
        <f t="shared" ref="E71:E76" si="11">C71*(1-D71)</f>
        <v>1</v>
      </c>
      <c r="F71" s="55">
        <v>4253238.7</v>
      </c>
      <c r="G71" s="55">
        <f>2328.5+2450+26961.3+1289.1+29725.2+27937.5+47420.8+27548.6+2035+51422+468709.2+23224.6+13297.2+72805.7+4500+13299.5+49000+356570+192000+23244.2+216944.8+109480.4+267705+328399.1+450507.4</f>
        <v>2808805.0999999996</v>
      </c>
      <c r="H71" s="55">
        <f t="shared" ref="H71:H76" si="12">ROUND(G71/F71*100,1)</f>
        <v>66</v>
      </c>
      <c r="I71" s="57" t="s">
        <v>443</v>
      </c>
      <c r="J71" s="57" t="s">
        <v>122</v>
      </c>
      <c r="K71" s="56" t="s">
        <v>582</v>
      </c>
      <c r="L71" s="56" t="s">
        <v>562</v>
      </c>
      <c r="M71" s="63" t="s">
        <v>112</v>
      </c>
    </row>
    <row r="72" spans="1:14" s="32" customFormat="1" ht="15" customHeight="1">
      <c r="A72" s="228" t="s">
        <v>58</v>
      </c>
      <c r="B72" s="54" t="s">
        <v>190</v>
      </c>
      <c r="C72" s="51">
        <f t="shared" si="8"/>
        <v>0</v>
      </c>
      <c r="D72" s="74"/>
      <c r="E72" s="52">
        <f t="shared" si="11"/>
        <v>0</v>
      </c>
      <c r="F72" s="55">
        <v>27944395</v>
      </c>
      <c r="G72" s="195">
        <f>397.6+249.2+1000+2460773+1516297+24000+422.1+217835.2+7227.6+576000+1589640.8+1000000+146912+582942.7+481000+500000+100000+1060000+568000+500000+151500+22725+100000+133835.1+14304.1+90572.6+10000+4579.7+7610+2734.5+14782.9+4214.3+1000+2650+14299.2+22121.4+163318.2+2531.6+18785+10035.9+14839.6+586785.9+225000</f>
        <v>12950922.199999997</v>
      </c>
      <c r="H72" s="55">
        <f t="shared" si="12"/>
        <v>46.3</v>
      </c>
      <c r="I72" s="57" t="s">
        <v>442</v>
      </c>
      <c r="J72" s="57" t="s">
        <v>122</v>
      </c>
      <c r="K72" s="56" t="s">
        <v>626</v>
      </c>
      <c r="L72" s="56" t="s">
        <v>572</v>
      </c>
      <c r="M72" s="63" t="s">
        <v>625</v>
      </c>
      <c r="N72" s="78" t="s">
        <v>112</v>
      </c>
    </row>
    <row r="73" spans="1:14" ht="15" customHeight="1">
      <c r="A73" s="228" t="s">
        <v>59</v>
      </c>
      <c r="B73" s="54" t="s">
        <v>412</v>
      </c>
      <c r="C73" s="51">
        <f t="shared" si="8"/>
        <v>2</v>
      </c>
      <c r="D73" s="74"/>
      <c r="E73" s="52">
        <f t="shared" si="11"/>
        <v>2</v>
      </c>
      <c r="F73" s="55">
        <v>10528955</v>
      </c>
      <c r="G73" s="55">
        <f>16639+120361+409043+73450+11607+1599+14799+17350+20995+398387+154263+40052+533208+537335+19430+456952+2713022+2710560+1393080+562577+7539+18190+94982+18763+60000+11481+109000</f>
        <v>10524664</v>
      </c>
      <c r="H73" s="55">
        <f t="shared" si="12"/>
        <v>100</v>
      </c>
      <c r="I73" s="57" t="s">
        <v>443</v>
      </c>
      <c r="J73" s="57" t="s">
        <v>122</v>
      </c>
      <c r="K73" s="56" t="s">
        <v>567</v>
      </c>
      <c r="L73" s="56" t="s">
        <v>599</v>
      </c>
      <c r="M73" s="63" t="s">
        <v>112</v>
      </c>
    </row>
    <row r="74" spans="1:14" ht="15" customHeight="1">
      <c r="A74" s="228" t="s">
        <v>60</v>
      </c>
      <c r="B74" s="54" t="s">
        <v>412</v>
      </c>
      <c r="C74" s="51">
        <f t="shared" si="8"/>
        <v>2</v>
      </c>
      <c r="D74" s="74">
        <v>0.5</v>
      </c>
      <c r="E74" s="52">
        <f t="shared" si="11"/>
        <v>1</v>
      </c>
      <c r="F74" s="55">
        <v>30156776.699999999</v>
      </c>
      <c r="G74" s="55">
        <f>13765.8+306042+2967318.8+2300000+78139.1+5000+48567.7+8229+27716+172148.1+755476.9+1000000+495966.8+1109361.2+1344970.6+1454282.6+334162+142562.2+1158298.4+294538.7+691883.5+26425.6+219461.5+1235520.5+46997.9+88128.2+3145951.2+27203.9+11881.2+300000+54561.7+50745+247583.7+58000+2046395.9+16568+15899.6+28305.6+42122.8+80500+1353101+9412.5+38691.7+632970.4+4500+190586.6+77121.4+29111.4+9625+10292.3+43504.8+14080+112002.3+6609.9+30309.5+10509.5+7289.1+1000+273773.9+1917.3+33060.8+25463.7+55935.7+79916.3+28386.7+4489.7+11357.9+14483.3+13650+23000+255.5+1500000+298471.2+21444.2+91821.9+62743.2+152124.4+12532+17443.5+81955.8+88260.3+18339.4+30971.1+10132.2+490415.6+313000+149823.9+20000+170882.9+129405.5+19410+69140+18685+3988.8+11211.7+45907.5+14135.4+197600.9+1143+2413+30000+88042+376252.4</f>
        <v>30134786.699999981</v>
      </c>
      <c r="H74" s="55">
        <f t="shared" si="12"/>
        <v>99.9</v>
      </c>
      <c r="I74" s="57" t="s">
        <v>443</v>
      </c>
      <c r="J74" s="57" t="s">
        <v>123</v>
      </c>
      <c r="K74" s="56" t="s">
        <v>569</v>
      </c>
      <c r="L74" s="56" t="s">
        <v>628</v>
      </c>
      <c r="M74" s="63" t="s">
        <v>554</v>
      </c>
      <c r="N74" s="78" t="s">
        <v>112</v>
      </c>
    </row>
    <row r="75" spans="1:14" s="32" customFormat="1" ht="15" customHeight="1">
      <c r="A75" s="228" t="s">
        <v>685</v>
      </c>
      <c r="B75" s="54" t="s">
        <v>412</v>
      </c>
      <c r="C75" s="51">
        <f t="shared" si="8"/>
        <v>2</v>
      </c>
      <c r="D75" s="74"/>
      <c r="E75" s="52">
        <f t="shared" si="11"/>
        <v>2</v>
      </c>
      <c r="F75" s="55">
        <v>26305484.199999999</v>
      </c>
      <c r="G75" s="55">
        <f>188976+4816+1456567.8+285940.1+669083.8+5147730.5+13229.5+6869.8+57000+84956.4+1204.5+837.5+166480.5+1499065.9+35000+15485.2+4071.4+497034+225657.5+5543083.1+263199.3+231755.1+466908+2130528.4+187901.4+85723.5+152608.6+447277.2+127803.3+126291+277.2+189867.3+8000+70000+320414.1+803727.4+287375+57000+3800+1200+450000+821254.6+428800+138423.5+151965.5+1417305+401172.9+88718.7+312480</f>
        <v>26074866.499999996</v>
      </c>
      <c r="H75" s="55">
        <f t="shared" si="12"/>
        <v>99.1</v>
      </c>
      <c r="I75" s="57" t="s">
        <v>443</v>
      </c>
      <c r="J75" s="57" t="s">
        <v>122</v>
      </c>
      <c r="K75" s="56" t="s">
        <v>559</v>
      </c>
      <c r="L75" s="56" t="s">
        <v>629</v>
      </c>
      <c r="M75" s="206" t="s">
        <v>112</v>
      </c>
      <c r="N75" s="78"/>
    </row>
    <row r="76" spans="1:14" ht="15" customHeight="1">
      <c r="A76" s="228" t="s">
        <v>61</v>
      </c>
      <c r="B76" s="54" t="s">
        <v>412</v>
      </c>
      <c r="C76" s="51">
        <f t="shared" si="8"/>
        <v>2</v>
      </c>
      <c r="D76" s="74">
        <v>0.5</v>
      </c>
      <c r="E76" s="52">
        <f t="shared" si="11"/>
        <v>1</v>
      </c>
      <c r="F76" s="55">
        <v>39927753</v>
      </c>
      <c r="G76" s="55">
        <v>39767993</v>
      </c>
      <c r="H76" s="55">
        <f t="shared" si="12"/>
        <v>99.6</v>
      </c>
      <c r="I76" s="57" t="s">
        <v>442</v>
      </c>
      <c r="J76" s="57" t="s">
        <v>122</v>
      </c>
      <c r="K76" s="56" t="s">
        <v>582</v>
      </c>
      <c r="L76" s="56" t="s">
        <v>593</v>
      </c>
      <c r="M76" s="54" t="s">
        <v>643</v>
      </c>
      <c r="N76" s="78" t="s">
        <v>112</v>
      </c>
    </row>
    <row r="77" spans="1:14" s="32" customFormat="1" ht="15" customHeight="1">
      <c r="A77" s="227" t="s">
        <v>62</v>
      </c>
      <c r="B77" s="106"/>
      <c r="C77" s="101"/>
      <c r="D77" s="128"/>
      <c r="E77" s="101"/>
      <c r="F77" s="207"/>
      <c r="G77" s="207"/>
      <c r="H77" s="62"/>
      <c r="I77" s="208"/>
      <c r="J77" s="208"/>
      <c r="K77" s="201"/>
      <c r="L77" s="201"/>
      <c r="M77" s="202"/>
      <c r="N77" s="78"/>
    </row>
    <row r="78" spans="1:14" ht="15" customHeight="1">
      <c r="A78" s="228" t="s">
        <v>63</v>
      </c>
      <c r="B78" s="54" t="s">
        <v>412</v>
      </c>
      <c r="C78" s="51">
        <f t="shared" si="8"/>
        <v>2</v>
      </c>
      <c r="D78" s="74"/>
      <c r="E78" s="52">
        <f t="shared" ref="E78:E87" si="13">C78*(1-D78)</f>
        <v>2</v>
      </c>
      <c r="F78" s="55">
        <v>1361968.5</v>
      </c>
      <c r="G78" s="55">
        <f>1289724.6+72243.9</f>
        <v>1361968.5</v>
      </c>
      <c r="H78" s="55">
        <f>ROUND(G78/F78*100,1)</f>
        <v>100</v>
      </c>
      <c r="I78" s="57" t="s">
        <v>443</v>
      </c>
      <c r="J78" s="57" t="s">
        <v>122</v>
      </c>
      <c r="K78" s="56" t="s">
        <v>589</v>
      </c>
      <c r="L78" s="56" t="s">
        <v>630</v>
      </c>
      <c r="M78" s="63" t="s">
        <v>112</v>
      </c>
    </row>
    <row r="79" spans="1:14" s="32" customFormat="1" ht="15" customHeight="1">
      <c r="A79" s="228" t="s">
        <v>65</v>
      </c>
      <c r="B79" s="54" t="s">
        <v>412</v>
      </c>
      <c r="C79" s="51">
        <f t="shared" si="8"/>
        <v>2</v>
      </c>
      <c r="D79" s="74"/>
      <c r="E79" s="52">
        <f t="shared" si="13"/>
        <v>2</v>
      </c>
      <c r="F79" s="55">
        <v>1181912.5</v>
      </c>
      <c r="G79" s="55">
        <f>41139.7+359141.2+51175.4+14996.5+4564.4+21109.3+2828.7+202+131406.8+384335.4+87548.2+50750+459.6-202+616.7+20158.7+11480</f>
        <v>1181710.6000000001</v>
      </c>
      <c r="H79" s="55">
        <f>ROUND(G79/F79*100,1)</f>
        <v>100</v>
      </c>
      <c r="I79" s="57" t="s">
        <v>443</v>
      </c>
      <c r="J79" s="57" t="s">
        <v>122</v>
      </c>
      <c r="K79" s="56" t="s">
        <v>560</v>
      </c>
      <c r="L79" s="56" t="s">
        <v>631</v>
      </c>
      <c r="M79" s="63" t="s">
        <v>112</v>
      </c>
      <c r="N79" s="78"/>
    </row>
    <row r="80" spans="1:14" s="32" customFormat="1" ht="15" customHeight="1">
      <c r="A80" s="228" t="s">
        <v>66</v>
      </c>
      <c r="B80" s="54" t="s">
        <v>412</v>
      </c>
      <c r="C80" s="51">
        <f t="shared" si="8"/>
        <v>2</v>
      </c>
      <c r="D80" s="74"/>
      <c r="E80" s="52">
        <f t="shared" si="13"/>
        <v>2</v>
      </c>
      <c r="F80" s="55">
        <v>4109058</v>
      </c>
      <c r="G80" s="55">
        <f>20000+308700+5000+69000+303213+70000+12315+5000+1000+5000+10000+6000+5000+20000+55500+430264.639+17256.16161+7949.798+18548.9899+30112.9295+104613.839+9664+50530+243697+21285+387500+73470+644841+32058+9000+33442+3027+6277+313724.8+9839+6000+8451.334+16738.888+2122+145236+21000+450+1000+10000+230499.372+7500+1555.556+111438.111+39502+11500+4441+11605+1000+131352.112+3970</f>
        <v>4108190.5300099994</v>
      </c>
      <c r="H80" s="55">
        <f>ROUND(G80/F80*100,1)</f>
        <v>100</v>
      </c>
      <c r="I80" s="57" t="s">
        <v>443</v>
      </c>
      <c r="J80" s="57" t="s">
        <v>122</v>
      </c>
      <c r="K80" s="56" t="s">
        <v>569</v>
      </c>
      <c r="L80" s="56" t="s">
        <v>632</v>
      </c>
      <c r="M80" s="63" t="s">
        <v>112</v>
      </c>
      <c r="N80" s="78"/>
    </row>
    <row r="81" spans="1:14" ht="15" customHeight="1">
      <c r="A81" s="228" t="s">
        <v>67</v>
      </c>
      <c r="B81" s="54" t="s">
        <v>412</v>
      </c>
      <c r="C81" s="51">
        <f t="shared" si="8"/>
        <v>2</v>
      </c>
      <c r="D81" s="74">
        <v>0.5</v>
      </c>
      <c r="E81" s="52">
        <f t="shared" si="13"/>
        <v>1</v>
      </c>
      <c r="F81" s="55">
        <f>3045142.7+80521.1+3834848.1+68465.6+349859.9+1018129.4+2536142.5+369894.7+293053+2570138.2+169144.7+1375000</f>
        <v>15710339.899999999</v>
      </c>
      <c r="G81" s="55">
        <f>658201+40404+93975.9+70168.8+53110.1+30296.8+65744.9+34392.9+18880.6+33111.2+391289.4+8000+1900+35920.1+27102.6+315920.3+38186.1+80300.7+38287.4+222970+70689.9+159656.2+13974.5+381194.1+247826.7+244176.8+49705.3+74030+111321.6+80521.1+246918.1+95007.6+7934.2+33919.7+164290+800000+10000+254583.3+2286860.1+1244410.3+2360285+24085+222478+740000+209928.4+1000000+1447988+100000+78000</f>
        <v>15017946.700000003</v>
      </c>
      <c r="H81" s="55">
        <f>ROUND(G81/F81*100,1)</f>
        <v>95.6</v>
      </c>
      <c r="I81" s="57" t="s">
        <v>646</v>
      </c>
      <c r="J81" s="57" t="s">
        <v>122</v>
      </c>
      <c r="K81" s="56" t="s">
        <v>570</v>
      </c>
      <c r="L81" s="56" t="s">
        <v>633</v>
      </c>
      <c r="M81" s="63" t="s">
        <v>648</v>
      </c>
      <c r="N81" s="78" t="s">
        <v>112</v>
      </c>
    </row>
    <row r="82" spans="1:14" s="32" customFormat="1" ht="15" customHeight="1">
      <c r="A82" s="228" t="s">
        <v>69</v>
      </c>
      <c r="B82" s="54" t="s">
        <v>190</v>
      </c>
      <c r="C82" s="51">
        <f t="shared" si="8"/>
        <v>0</v>
      </c>
      <c r="D82" s="74"/>
      <c r="E82" s="52">
        <f t="shared" si="13"/>
        <v>0</v>
      </c>
      <c r="F82" s="55">
        <v>23961847.199999999</v>
      </c>
      <c r="G82" s="55">
        <f>2068614.6+100440+230605.7+10020.8+13758.6+200000+1500+10000+6144.3+59697+16051.4+15600+38943.5+45698.9+1750.4+15499.8+87784.5+6000+80000+5102928.8+1055099.9+5022+425000+858320.1</f>
        <v>10454480.299999999</v>
      </c>
      <c r="H82" s="55">
        <f>ROUND(G82/F82*100,1)</f>
        <v>43.6</v>
      </c>
      <c r="I82" s="57" t="s">
        <v>443</v>
      </c>
      <c r="J82" s="57" t="s">
        <v>122</v>
      </c>
      <c r="K82" s="56" t="s">
        <v>569</v>
      </c>
      <c r="L82" s="56" t="s">
        <v>634</v>
      </c>
      <c r="M82" s="63" t="s">
        <v>556</v>
      </c>
      <c r="N82" s="78" t="s">
        <v>112</v>
      </c>
    </row>
    <row r="83" spans="1:14" ht="15" customHeight="1">
      <c r="A83" s="228" t="s">
        <v>70</v>
      </c>
      <c r="B83" s="54" t="s">
        <v>190</v>
      </c>
      <c r="C83" s="51">
        <f t="shared" si="8"/>
        <v>0</v>
      </c>
      <c r="D83" s="74"/>
      <c r="E83" s="52">
        <f t="shared" si="13"/>
        <v>0</v>
      </c>
      <c r="F83" s="55" t="s">
        <v>441</v>
      </c>
      <c r="G83" s="55">
        <f>46682+1437546.7+1556716+707303.4+122202.7+134458+168295.5+35444.4+38894.9+194224.4+294753.9+19865.9+1899616.1+49549.5+110765.8+15365.5+88341.3+960+777767.3+80618.3+365894.8+35340+12117.4+10724.4+70146.3+63825.7+94639.9+325862.2+3514.9+20411.8+35571+1751.9+3401.5+690044.7+23111.15+51001.2+5536.8+123468.3+8407.7+755630.9+8800+1996004.7+38818+4858.7+1374336.4+2228767.1+407801+81000+517734+99506.3+2894626.8+335232.7+171163.7+84496.8+193370.3+195875.7+176407.3+49096.3+20786.9+14496.5+23795.5+531568.4+107897.4+140585.4+152137+19414.3+850000+1663195.1+3164166.5+2496.7</f>
        <v>28028209.649999999</v>
      </c>
      <c r="H83" s="55" t="s">
        <v>112</v>
      </c>
      <c r="I83" s="57" t="s">
        <v>441</v>
      </c>
      <c r="J83" s="57" t="s">
        <v>122</v>
      </c>
      <c r="K83" s="56" t="s">
        <v>572</v>
      </c>
      <c r="L83" s="56" t="s">
        <v>582</v>
      </c>
      <c r="M83" s="63" t="s">
        <v>652</v>
      </c>
      <c r="N83" s="78" t="s">
        <v>112</v>
      </c>
    </row>
    <row r="84" spans="1:14" s="7" customFormat="1" ht="15" customHeight="1">
      <c r="A84" s="228" t="s">
        <v>686</v>
      </c>
      <c r="B84" s="54" t="s">
        <v>412</v>
      </c>
      <c r="C84" s="51">
        <f t="shared" si="8"/>
        <v>2</v>
      </c>
      <c r="D84" s="74"/>
      <c r="E84" s="52">
        <f t="shared" si="13"/>
        <v>2</v>
      </c>
      <c r="F84" s="55">
        <v>23353608.100000001</v>
      </c>
      <c r="G84" s="55">
        <f>149956.3+111116.5+5848.2+432558+128681+929662.8+2885473+309317.7+113.8+1500000+1500000+92133.4+180000+621134.2+491225.7+1361861.9+131235.4+17468.1+573019.5+55728.6+229780.4+57298.3+13500+105659.5+722517.3+250000+1900267.5+1792465.4+13064.9+21444.2+15899.6+17443.5+53132.5+424255.2+17737+50+1623073+32386+709560.2+177282.8+26845.8+92103.4+39373.3+22848.9+3200+3232.5+17997.3+2000+5900+13314.6+693.5+982001+450000+1771.2+1824.6+61243+1210800+312380.8+10632.4</f>
        <v>22911513.700000003</v>
      </c>
      <c r="H84" s="55">
        <f>ROUND(G84/F84*100,1)</f>
        <v>98.1</v>
      </c>
      <c r="I84" s="57" t="s">
        <v>443</v>
      </c>
      <c r="J84" s="57" t="s">
        <v>122</v>
      </c>
      <c r="K84" s="56" t="s">
        <v>572</v>
      </c>
      <c r="L84" s="56" t="s">
        <v>570</v>
      </c>
      <c r="M84" s="63" t="s">
        <v>112</v>
      </c>
      <c r="N84" s="78"/>
    </row>
    <row r="85" spans="1:14" s="32" customFormat="1" ht="15" customHeight="1">
      <c r="A85" s="228" t="s">
        <v>71</v>
      </c>
      <c r="B85" s="54" t="s">
        <v>412</v>
      </c>
      <c r="C85" s="51">
        <f t="shared" si="8"/>
        <v>2</v>
      </c>
      <c r="D85" s="74"/>
      <c r="E85" s="52">
        <f t="shared" si="13"/>
        <v>2</v>
      </c>
      <c r="F85" s="55">
        <v>34385512.399999999</v>
      </c>
      <c r="G85" s="55">
        <f>32292.5+130636.8+9795.6+658131.2+20000+1225.6+344280.6+30000+73908.2+4000+13624.9+34908.3+119636.4+30119.2+219192.3+38184.2+6176.8+80832.4+838655+1978612.2+235661+129280.9+209821.8+10359.9+440911.2+127894.7+4504574.9+370929.1+114000+104775.9+1850735.8+393845.1+437385.1+888535.5+2645.2+775243.7+45063.6+9804.1+414283.1+190000+136410+18966+96644+18374+187923.1+821567.9+306055.6+278700+20899.6+23800+294000+29900+6031.4+20000+147657.7+1184310.9+11942+34314.5+33910.8+11222549.4+2295404+223463.2+729879.6+23217.6+179528.4+77100</f>
        <v>34342512.499999993</v>
      </c>
      <c r="H85" s="55">
        <f>ROUND(G85/F85*100,1)</f>
        <v>99.9</v>
      </c>
      <c r="I85" s="57" t="s">
        <v>443</v>
      </c>
      <c r="J85" s="57" t="s">
        <v>122</v>
      </c>
      <c r="K85" s="56" t="s">
        <v>561</v>
      </c>
      <c r="L85" s="56" t="s">
        <v>572</v>
      </c>
      <c r="M85" s="63" t="s">
        <v>112</v>
      </c>
      <c r="N85" s="78"/>
    </row>
    <row r="86" spans="1:14" ht="15" customHeight="1">
      <c r="A86" s="228" t="s">
        <v>72</v>
      </c>
      <c r="B86" s="205" t="s">
        <v>190</v>
      </c>
      <c r="C86" s="51">
        <f t="shared" si="8"/>
        <v>0</v>
      </c>
      <c r="D86" s="74"/>
      <c r="E86" s="52">
        <f t="shared" si="13"/>
        <v>0</v>
      </c>
      <c r="F86" s="55">
        <f>8086881996.51/1000</f>
        <v>8086881.99651</v>
      </c>
      <c r="G86" s="195">
        <v>0</v>
      </c>
      <c r="H86" s="55">
        <f>ROUND(G86/F86*100,1)</f>
        <v>0</v>
      </c>
      <c r="I86" s="57" t="s">
        <v>443</v>
      </c>
      <c r="J86" s="57" t="s">
        <v>112</v>
      </c>
      <c r="K86" s="56" t="s">
        <v>563</v>
      </c>
      <c r="L86" s="56" t="s">
        <v>112</v>
      </c>
      <c r="M86" s="63" t="s">
        <v>644</v>
      </c>
      <c r="N86" s="78" t="s">
        <v>112</v>
      </c>
    </row>
    <row r="87" spans="1:14" s="32" customFormat="1" ht="15" customHeight="1">
      <c r="A87" s="228" t="s">
        <v>73</v>
      </c>
      <c r="B87" s="54" t="s">
        <v>412</v>
      </c>
      <c r="C87" s="51">
        <f t="shared" si="8"/>
        <v>2</v>
      </c>
      <c r="D87" s="74"/>
      <c r="E87" s="52">
        <f t="shared" si="13"/>
        <v>2</v>
      </c>
      <c r="F87" s="55">
        <v>8578972.1999999993</v>
      </c>
      <c r="G87" s="55">
        <f>250000+294703.9+11700+5500+1300+6159.5+11252.5+75115.9+6000+82177.2+7553.5+9000+30000+8520+17443.5+78945.5+29579.9+36461.5+64090.9+109353.2+61153.5+6787+80280+15268.5+37580.7+15899.6+571966.9+8780.7+52514.4+127327.4+799542.6+213549.3+347451.6+14898.3+4095.2+17213.2+1000+9861.5+29636.9+34469+16579.3+105278+54425.5+373254.1+1500.2+175769.7+5916.5+652000+507000+404854.9+70015+58267.8+10200+25467+10200+6545+81700+168313.9+206449.8+80176.9+205554.2+31575.2+90380.8+37668.3+274324.2+19429.8+7861.6+27696.2</f>
        <v>7292537.2000000011</v>
      </c>
      <c r="H87" s="55">
        <f>ROUND(G87/F87*100,1)</f>
        <v>85</v>
      </c>
      <c r="I87" s="57" t="s">
        <v>443</v>
      </c>
      <c r="J87" s="57" t="s">
        <v>122</v>
      </c>
      <c r="K87" s="56" t="s">
        <v>560</v>
      </c>
      <c r="L87" s="56" t="s">
        <v>635</v>
      </c>
      <c r="M87" s="63" t="s">
        <v>112</v>
      </c>
      <c r="N87" s="78"/>
    </row>
    <row r="88" spans="1:14" s="32" customFormat="1" ht="15" customHeight="1">
      <c r="A88" s="227" t="s">
        <v>74</v>
      </c>
      <c r="B88" s="106"/>
      <c r="C88" s="101"/>
      <c r="D88" s="128"/>
      <c r="E88" s="101"/>
      <c r="F88" s="207"/>
      <c r="G88" s="207"/>
      <c r="H88" s="62"/>
      <c r="I88" s="208"/>
      <c r="J88" s="208"/>
      <c r="K88" s="201"/>
      <c r="L88" s="201"/>
      <c r="M88" s="202"/>
      <c r="N88" s="78"/>
    </row>
    <row r="89" spans="1:14" s="32" customFormat="1" ht="15" customHeight="1">
      <c r="A89" s="228" t="s">
        <v>64</v>
      </c>
      <c r="B89" s="54" t="s">
        <v>412</v>
      </c>
      <c r="C89" s="51">
        <f t="shared" si="8"/>
        <v>2</v>
      </c>
      <c r="D89" s="74"/>
      <c r="E89" s="52">
        <f t="shared" ref="E89:E99" si="14">C89*(1-D89)</f>
        <v>2</v>
      </c>
      <c r="F89" s="55">
        <v>16644450.800000001</v>
      </c>
      <c r="G89" s="55">
        <f>73.2+312207.3+557781.5+4353+16601.7+18326.2+400000+630.6+3800+225342.3+949223.5+5758.8+500000+19480.6+84757.2+2386.6+3981.8+253376.9+208100.9+39.4+337582.2+223084.8+12617.5+1496506.4+151377.7+2732+140282.5+477971.6+2091097.6+1280784.9+117951.7+10136.1+284841.6+813818.8+8707.1+27075.4+2150+5865+4520.3+783256.4+21929+87217.6+10619.7+12644.6+20000+9554.9+167244.8+8300+25685.7+8453.9+104286.3+5302.7+16460.4+68171+3911.9+2500+108253.2+16480.1+46174.9+150000+2856953.6+17969.5+540541.5+25080.2+96127.4+74634.4+84757.2+104000+549.8</f>
        <v>16532385.399999999</v>
      </c>
      <c r="H89" s="55">
        <f t="shared" ref="H89:H99" si="15">ROUND(G89/F89*100,1)</f>
        <v>99.3</v>
      </c>
      <c r="I89" s="57" t="s">
        <v>443</v>
      </c>
      <c r="J89" s="57" t="s">
        <v>122</v>
      </c>
      <c r="K89" s="56" t="s">
        <v>567</v>
      </c>
      <c r="L89" s="56" t="s">
        <v>636</v>
      </c>
      <c r="M89" s="63" t="s">
        <v>112</v>
      </c>
      <c r="N89" s="78"/>
    </row>
    <row r="90" spans="1:14" ht="15" customHeight="1">
      <c r="A90" s="228" t="s">
        <v>75</v>
      </c>
      <c r="B90" s="205" t="s">
        <v>413</v>
      </c>
      <c r="C90" s="51">
        <f t="shared" si="8"/>
        <v>1</v>
      </c>
      <c r="D90" s="74"/>
      <c r="E90" s="52">
        <f t="shared" si="14"/>
        <v>1</v>
      </c>
      <c r="F90" s="55">
        <v>8578715.8000000007</v>
      </c>
      <c r="G90" s="55">
        <f>1112003.1+100373.3+474059.1+47401.3+170000+115386.4+3375.5+416091.3+526538+100000+241683.2+1111035.4+129491.9</f>
        <v>4547438.5</v>
      </c>
      <c r="H90" s="55">
        <f t="shared" si="15"/>
        <v>53</v>
      </c>
      <c r="I90" s="57" t="s">
        <v>443</v>
      </c>
      <c r="J90" s="57" t="s">
        <v>122</v>
      </c>
      <c r="K90" s="56" t="s">
        <v>560</v>
      </c>
      <c r="L90" s="56" t="s">
        <v>570</v>
      </c>
      <c r="M90" s="63" t="s">
        <v>112</v>
      </c>
    </row>
    <row r="91" spans="1:14" ht="15" customHeight="1">
      <c r="A91" s="228" t="s">
        <v>68</v>
      </c>
      <c r="B91" s="54" t="s">
        <v>412</v>
      </c>
      <c r="C91" s="51">
        <f t="shared" si="8"/>
        <v>2</v>
      </c>
      <c r="D91" s="74">
        <v>0.5</v>
      </c>
      <c r="E91" s="52">
        <f t="shared" si="14"/>
        <v>1</v>
      </c>
      <c r="F91" s="55">
        <v>4554531.8</v>
      </c>
      <c r="G91" s="55">
        <f>41508.3+1389.2+191989.9+168849.2+200000+2674.2+18576.5+935318.5+1028031+200370.7+2000+18441+261500+63300.6+99000+1791.9+262922.9+8526+23830.3+285650.8</f>
        <v>3815670.9999999995</v>
      </c>
      <c r="H91" s="55">
        <f t="shared" si="15"/>
        <v>83.8</v>
      </c>
      <c r="I91" s="57" t="s">
        <v>443</v>
      </c>
      <c r="J91" s="57" t="s">
        <v>123</v>
      </c>
      <c r="K91" s="56" t="s">
        <v>613</v>
      </c>
      <c r="L91" s="56" t="s">
        <v>637</v>
      </c>
      <c r="M91" s="63" t="s">
        <v>555</v>
      </c>
      <c r="N91" s="78" t="s">
        <v>112</v>
      </c>
    </row>
    <row r="92" spans="1:14" s="32" customFormat="1" ht="15" customHeight="1">
      <c r="A92" s="228" t="s">
        <v>76</v>
      </c>
      <c r="B92" s="54" t="s">
        <v>412</v>
      </c>
      <c r="C92" s="51">
        <f t="shared" si="8"/>
        <v>2</v>
      </c>
      <c r="D92" s="74"/>
      <c r="E92" s="52">
        <f t="shared" si="14"/>
        <v>2</v>
      </c>
      <c r="F92" s="55">
        <v>5343628.7232600003</v>
      </c>
      <c r="G92" s="55">
        <f>4083008.74299+1260619.98027</f>
        <v>5343628.7232600003</v>
      </c>
      <c r="H92" s="55">
        <f t="shared" si="15"/>
        <v>100</v>
      </c>
      <c r="I92" s="57" t="s">
        <v>443</v>
      </c>
      <c r="J92" s="57" t="s">
        <v>122</v>
      </c>
      <c r="K92" s="56" t="s">
        <v>567</v>
      </c>
      <c r="L92" s="63" t="s">
        <v>638</v>
      </c>
      <c r="M92" s="63" t="s">
        <v>112</v>
      </c>
      <c r="N92" s="78"/>
    </row>
    <row r="93" spans="1:14" s="32" customFormat="1" ht="15" customHeight="1">
      <c r="A93" s="228" t="s">
        <v>77</v>
      </c>
      <c r="B93" s="54" t="s">
        <v>412</v>
      </c>
      <c r="C93" s="51">
        <f t="shared" si="8"/>
        <v>2</v>
      </c>
      <c r="D93" s="74"/>
      <c r="E93" s="52">
        <f t="shared" si="14"/>
        <v>2</v>
      </c>
      <c r="F93" s="55">
        <f>15818082567.58/1000</f>
        <v>15818082.56758</v>
      </c>
      <c r="G93" s="195">
        <f>(19763061.22+144680714.29+760722938.43+339711295.57+81087091.91+1020408.16+101365833.34+133080807.68+73479828+36181063.45+5000000+118624339.07+3404523.82+14406547.62+560489221.13+2075798914.64+501059115.71+526772580.12+100000000+257116000+9935075.81+86400118.65+2831590.56+8525408.16+50000000+9000000+53629695+17635470+500907489.5+953517609.38+63640254.63+200000000+300000000+1246509618.65+10303214+1843809.52+543552551.02+600000000+38820506+1520000000+199595114.43+40000000+400000000+158905281.82+2633263.16+25510204.08+15910560+159640600+100000000+103156500+18690833.33+33421122.45+163127142.86+12933877.55+91033673.47+47655918.37+1618000000+123800710+95116190)/1000</f>
        <v>15479947.686560001</v>
      </c>
      <c r="H93" s="55">
        <f t="shared" si="15"/>
        <v>97.9</v>
      </c>
      <c r="I93" s="57" t="s">
        <v>443</v>
      </c>
      <c r="J93" s="57" t="s">
        <v>122</v>
      </c>
      <c r="K93" s="56" t="s">
        <v>563</v>
      </c>
      <c r="L93" s="56" t="s">
        <v>582</v>
      </c>
      <c r="M93" s="63" t="s">
        <v>112</v>
      </c>
      <c r="N93" s="78"/>
    </row>
    <row r="94" spans="1:14" ht="15" customHeight="1">
      <c r="A94" s="228" t="s">
        <v>78</v>
      </c>
      <c r="B94" s="54" t="s">
        <v>190</v>
      </c>
      <c r="C94" s="51">
        <f t="shared" si="8"/>
        <v>0</v>
      </c>
      <c r="D94" s="74"/>
      <c r="E94" s="52">
        <f t="shared" si="14"/>
        <v>0</v>
      </c>
      <c r="F94" s="55">
        <v>6195803.8700000001</v>
      </c>
      <c r="G94" s="55">
        <f>185355.24+8500+1662.15+626115.81+176577.61+2100+33438.14+975493.34+17430+10697.45+6587.84+5630.78+11384.95+354162.36+145894.13</f>
        <v>2561029.7999999998</v>
      </c>
      <c r="H94" s="55">
        <f t="shared" si="15"/>
        <v>41.3</v>
      </c>
      <c r="I94" s="57" t="s">
        <v>443</v>
      </c>
      <c r="J94" s="57" t="s">
        <v>122</v>
      </c>
      <c r="K94" s="56" t="s">
        <v>567</v>
      </c>
      <c r="L94" s="56" t="s">
        <v>639</v>
      </c>
      <c r="M94" s="63" t="s">
        <v>556</v>
      </c>
      <c r="N94" s="78" t="s">
        <v>112</v>
      </c>
    </row>
    <row r="95" spans="1:14" ht="15" customHeight="1">
      <c r="A95" s="228" t="s">
        <v>79</v>
      </c>
      <c r="B95" s="54" t="s">
        <v>412</v>
      </c>
      <c r="C95" s="51">
        <f t="shared" si="8"/>
        <v>2</v>
      </c>
      <c r="D95" s="74"/>
      <c r="E95" s="52">
        <f t="shared" si="14"/>
        <v>2</v>
      </c>
      <c r="F95" s="55">
        <v>16292238.1</v>
      </c>
      <c r="G95" s="55">
        <f>150000+3442.4+29367.5+4094506.7+2486.8+75102.1+182114.6+7750.4+1347+60742.3+45190+201654.8+618970.6+873037.4+19000+213445.3+535270.5+23448.7+3000+2256.4+152400+3813.6+18048+9464+105000+409348.4+100000+58000+107233.6+630092.1+10531.6+44488.4+115500+64277.3+8380.2+13968.7+889829.3+9776+83691.9+5000+40000+184971+140062.3+409152.1+100000+784500.4+10000+4000+60644.6+88588.3+20555.9+3224586.4+75000+2303.6+172358.8+114696.6+800000+3500</f>
        <v>16215896.600000001</v>
      </c>
      <c r="H95" s="55">
        <f t="shared" si="15"/>
        <v>99.5</v>
      </c>
      <c r="I95" s="57" t="s">
        <v>443</v>
      </c>
      <c r="J95" s="57" t="s">
        <v>122</v>
      </c>
      <c r="K95" s="56" t="s">
        <v>564</v>
      </c>
      <c r="L95" s="56" t="s">
        <v>640</v>
      </c>
      <c r="M95" s="63" t="s">
        <v>112</v>
      </c>
    </row>
    <row r="96" spans="1:14" ht="15" customHeight="1">
      <c r="A96" s="228" t="s">
        <v>80</v>
      </c>
      <c r="B96" s="54" t="s">
        <v>412</v>
      </c>
      <c r="C96" s="51">
        <f t="shared" si="8"/>
        <v>2</v>
      </c>
      <c r="D96" s="74"/>
      <c r="E96" s="52">
        <f t="shared" si="14"/>
        <v>2</v>
      </c>
      <c r="F96" s="55">
        <v>2183630.2999999998</v>
      </c>
      <c r="G96" s="55">
        <v>2183630.2999999998</v>
      </c>
      <c r="H96" s="55">
        <f t="shared" si="15"/>
        <v>100</v>
      </c>
      <c r="I96" s="57" t="s">
        <v>443</v>
      </c>
      <c r="J96" s="57" t="s">
        <v>122</v>
      </c>
      <c r="K96" s="56" t="s">
        <v>564</v>
      </c>
      <c r="L96" s="56" t="s">
        <v>572</v>
      </c>
      <c r="M96" s="54" t="s">
        <v>112</v>
      </c>
    </row>
    <row r="97" spans="1:14" s="32" customFormat="1" ht="15" customHeight="1">
      <c r="A97" s="228" t="s">
        <v>81</v>
      </c>
      <c r="B97" s="54" t="s">
        <v>412</v>
      </c>
      <c r="C97" s="51">
        <f t="shared" si="8"/>
        <v>2</v>
      </c>
      <c r="D97" s="74"/>
      <c r="E97" s="52">
        <f t="shared" si="14"/>
        <v>2</v>
      </c>
      <c r="F97" s="55">
        <v>20364482.100000001</v>
      </c>
      <c r="G97" s="55">
        <f>9844664.5+20000+1807888.7+180746.1+1215933.4+1238063.3+384.3+32243.5+181310.8+222909+319889.4+20356.5+315000+6004.3+69171.3+12623.7+99181.6+110811.5+2522723.3+2533.9+602858</f>
        <v>18825297.100000001</v>
      </c>
      <c r="H97" s="55">
        <f t="shared" si="15"/>
        <v>92.4</v>
      </c>
      <c r="I97" s="57" t="s">
        <v>443</v>
      </c>
      <c r="J97" s="57" t="s">
        <v>122</v>
      </c>
      <c r="K97" s="56" t="s">
        <v>627</v>
      </c>
      <c r="L97" s="56" t="s">
        <v>570</v>
      </c>
      <c r="M97" s="63" t="s">
        <v>112</v>
      </c>
      <c r="N97" s="78"/>
    </row>
    <row r="98" spans="1:14" s="32" customFormat="1" ht="15" customHeight="1">
      <c r="A98" s="228" t="s">
        <v>82</v>
      </c>
      <c r="B98" s="54" t="s">
        <v>412</v>
      </c>
      <c r="C98" s="51">
        <f t="shared" si="8"/>
        <v>2</v>
      </c>
      <c r="D98" s="74"/>
      <c r="E98" s="52">
        <f t="shared" si="14"/>
        <v>2</v>
      </c>
      <c r="F98" s="55">
        <v>974501.4</v>
      </c>
      <c r="G98" s="55">
        <f>10202.6+910.8+134895.7+93198.9+28106.6+656.2+1937.6+1172.4+222.2+99921.5+41867.6+409684.3+19648.1+123+22222.2+97330.1+1112.2</f>
        <v>963211.99999999977</v>
      </c>
      <c r="H98" s="55">
        <f t="shared" si="15"/>
        <v>98.8</v>
      </c>
      <c r="I98" s="57" t="s">
        <v>443</v>
      </c>
      <c r="J98" s="57" t="s">
        <v>122</v>
      </c>
      <c r="K98" s="56" t="s">
        <v>561</v>
      </c>
      <c r="L98" s="56" t="s">
        <v>641</v>
      </c>
      <c r="M98" s="63" t="s">
        <v>112</v>
      </c>
      <c r="N98" s="78"/>
    </row>
    <row r="99" spans="1:14" s="32" customFormat="1" ht="15" customHeight="1">
      <c r="A99" s="228" t="s">
        <v>83</v>
      </c>
      <c r="B99" s="54" t="s">
        <v>412</v>
      </c>
      <c r="C99" s="51">
        <f t="shared" si="8"/>
        <v>2</v>
      </c>
      <c r="D99" s="74"/>
      <c r="E99" s="52">
        <f t="shared" si="14"/>
        <v>2</v>
      </c>
      <c r="F99" s="55">
        <v>3843698</v>
      </c>
      <c r="G99" s="55">
        <f>30000+1926.8+20420.2+1000+4661.1+5400+70274.5+111451+82000+500000+9139.1+1023.6+56835.8+19170+860452+18500+42091.9+130000+2000+1500+1000+1000+24058+106325.4+7000+1800+39690+14986.2+5000+1000+22485.5+7350+5000+491644.1+5000+8000+190134.3+362609.3+500+13249.2+474578+13284.1</f>
        <v>3763540.1</v>
      </c>
      <c r="H99" s="55">
        <f t="shared" si="15"/>
        <v>97.9</v>
      </c>
      <c r="I99" s="57" t="s">
        <v>443</v>
      </c>
      <c r="J99" s="57" t="s">
        <v>122</v>
      </c>
      <c r="K99" s="56" t="s">
        <v>582</v>
      </c>
      <c r="L99" s="56" t="s">
        <v>642</v>
      </c>
      <c r="M99" s="63" t="s">
        <v>112</v>
      </c>
      <c r="N99" s="78"/>
    </row>
    <row r="100" spans="1:14">
      <c r="A100" s="31" t="s">
        <v>444</v>
      </c>
      <c r="M100" s="69"/>
    </row>
    <row r="101" spans="1:14">
      <c r="A101" s="31" t="s">
        <v>691</v>
      </c>
      <c r="E101" s="70"/>
      <c r="M101" s="69"/>
    </row>
    <row r="102" spans="1:14">
      <c r="A102" s="31" t="s">
        <v>200</v>
      </c>
      <c r="M102" s="69"/>
    </row>
    <row r="103" spans="1:14">
      <c r="M103" s="69"/>
    </row>
    <row r="104" spans="1:14">
      <c r="M104" s="69"/>
    </row>
    <row r="105" spans="1:14">
      <c r="M105" s="69"/>
    </row>
    <row r="106" spans="1:14">
      <c r="M106" s="69"/>
    </row>
    <row r="107" spans="1:14">
      <c r="A107" s="4"/>
      <c r="B107" s="4"/>
      <c r="C107" s="4"/>
      <c r="D107" s="71"/>
      <c r="E107" s="70"/>
      <c r="F107" s="72"/>
      <c r="G107" s="72"/>
      <c r="H107" s="72"/>
      <c r="I107" s="72"/>
      <c r="J107" s="72"/>
      <c r="K107" s="72"/>
      <c r="L107" s="72"/>
      <c r="M107" s="69"/>
    </row>
    <row r="108" spans="1:14">
      <c r="M108" s="69"/>
    </row>
    <row r="109" spans="1:14">
      <c r="M109" s="69"/>
    </row>
    <row r="110" spans="1:14">
      <c r="M110" s="69"/>
    </row>
    <row r="111" spans="1:14">
      <c r="A111" s="4"/>
      <c r="B111" s="4"/>
      <c r="C111" s="4"/>
      <c r="D111" s="71"/>
      <c r="E111" s="70"/>
      <c r="F111" s="72"/>
      <c r="G111" s="72"/>
      <c r="H111" s="72"/>
      <c r="I111" s="72"/>
      <c r="J111" s="72"/>
      <c r="K111" s="72"/>
      <c r="L111" s="72"/>
      <c r="M111" s="69"/>
    </row>
    <row r="112" spans="1:14" s="2" customFormat="1" ht="11">
      <c r="A112" s="3"/>
      <c r="B112" s="3"/>
      <c r="C112" s="3"/>
      <c r="D112" s="66"/>
      <c r="E112" s="67"/>
      <c r="F112" s="68"/>
      <c r="G112" s="68"/>
      <c r="H112" s="68"/>
      <c r="I112" s="68"/>
      <c r="J112" s="68"/>
      <c r="K112" s="68"/>
      <c r="L112" s="68"/>
      <c r="M112" s="73"/>
      <c r="N112" s="179"/>
    </row>
    <row r="113" spans="1:14">
      <c r="M113" s="69"/>
    </row>
    <row r="114" spans="1:14">
      <c r="A114" s="4"/>
      <c r="B114" s="4"/>
      <c r="C114" s="4"/>
      <c r="D114" s="71"/>
      <c r="E114" s="70"/>
      <c r="F114" s="72"/>
      <c r="G114" s="72"/>
      <c r="H114" s="72"/>
      <c r="I114" s="72"/>
      <c r="J114" s="72"/>
      <c r="K114" s="72"/>
      <c r="L114" s="72"/>
      <c r="M114" s="69"/>
    </row>
    <row r="115" spans="1:14" s="2" customFormat="1" ht="11">
      <c r="A115" s="3"/>
      <c r="B115" s="3"/>
      <c r="C115" s="3"/>
      <c r="D115" s="66"/>
      <c r="E115" s="67"/>
      <c r="F115" s="68"/>
      <c r="G115" s="68"/>
      <c r="H115" s="68"/>
      <c r="I115" s="68"/>
      <c r="J115" s="68"/>
      <c r="K115" s="68"/>
      <c r="L115" s="68"/>
      <c r="M115" s="73"/>
      <c r="N115" s="179"/>
    </row>
    <row r="116" spans="1:14">
      <c r="M116" s="69"/>
    </row>
    <row r="117" spans="1:14">
      <c r="M117" s="69"/>
    </row>
    <row r="118" spans="1:14">
      <c r="A118" s="4"/>
      <c r="B118" s="4"/>
      <c r="C118" s="4"/>
      <c r="D118" s="71"/>
      <c r="E118" s="70"/>
      <c r="F118" s="72"/>
      <c r="G118" s="72"/>
      <c r="H118" s="72"/>
      <c r="I118" s="72"/>
      <c r="J118" s="72"/>
      <c r="K118" s="72"/>
      <c r="L118" s="72"/>
    </row>
    <row r="119" spans="1:14" s="2" customFormat="1" ht="11">
      <c r="A119" s="3"/>
      <c r="B119" s="3"/>
      <c r="C119" s="3"/>
      <c r="D119" s="66"/>
      <c r="E119" s="67"/>
      <c r="F119" s="68"/>
      <c r="G119" s="68"/>
      <c r="H119" s="68"/>
      <c r="I119" s="68"/>
      <c r="J119" s="68"/>
      <c r="K119" s="68"/>
      <c r="L119" s="68"/>
      <c r="N119" s="179"/>
    </row>
  </sheetData>
  <mergeCells count="16">
    <mergeCell ref="K4:K6"/>
    <mergeCell ref="L4:L6"/>
    <mergeCell ref="J3:J6"/>
    <mergeCell ref="A1:M1"/>
    <mergeCell ref="A2:M2"/>
    <mergeCell ref="M3:M6"/>
    <mergeCell ref="D4:D6"/>
    <mergeCell ref="A3:A6"/>
    <mergeCell ref="C3:E3"/>
    <mergeCell ref="C4:C6"/>
    <mergeCell ref="E4:E6"/>
    <mergeCell ref="F3:F6"/>
    <mergeCell ref="G3:G6"/>
    <mergeCell ref="H3:H6"/>
    <mergeCell ref="I3:I6"/>
    <mergeCell ref="K3:L3"/>
  </mergeCells>
  <dataValidations count="4">
    <dataValidation type="list" allowBlank="1" showInputMessage="1" showErrorMessage="1" sqref="D37 D39:D45 D71:D76 D78:D87 D8:D24 D56:D69 D89:D99 D27:D35 D48:D54" xr:uid="{00000000-0002-0000-0700-000000000000}">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D55 D26 D7 D38 D47" xr:uid="{00000000-0002-0000-0700-000001000000}">
      <formula1>"0,5"</formula1>
    </dataValidation>
    <dataValidation type="list" allowBlank="1" showInputMessage="1" showErrorMessage="1" sqref="B7 I7:J7" xr:uid="{00000000-0002-0000-0700-000002000000}">
      <formula1>#REF!</formula1>
    </dataValidation>
    <dataValidation type="list" allowBlank="1" showInputMessage="1" showErrorMessage="1" sqref="B37 B27:B35 B56:B69 B71:B76 B78:B87 B89:B99 B39:B45 B53:B54 B8:B24 B48:B51 D88:G88 D77:G77 D70:G70" xr:uid="{00000000-0002-0000-0700-000003000000}">
      <formula1>$B$4:$B$6</formula1>
    </dataValidation>
  </dataValidations>
  <pageMargins left="0.70866141732283472" right="0.70866141732283472" top="0.74803149606299213" bottom="0.74803149606299213" header="0.31496062992125984" footer="0.31496062992125984"/>
  <pageSetup paperSize="9" scale="66" fitToHeight="3" orientation="landscape" r:id="rId1"/>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2.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3.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6AD21D-BF8B-40B6-97B6-691ADCA72C8B}">
  <ds:schemaRef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b1e5bdc4-b57e-4af5-8c56-e26e352185e0"/>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8</vt:i4>
      </vt:variant>
      <vt:variant>
        <vt:lpstr>Именованные диапазоны</vt:lpstr>
      </vt:variant>
      <vt:variant>
        <vt:i4>18</vt:i4>
      </vt:variant>
    </vt:vector>
  </HeadingPairs>
  <TitlesOfParts>
    <vt:vector size="26" baseType="lpstr">
      <vt:lpstr>Рейтинг (раздел 1)</vt:lpstr>
      <vt:lpstr>Оценка (раздел 1)</vt:lpstr>
      <vt:lpstr>Методика (раздел 1)</vt:lpstr>
      <vt:lpstr>1.1</vt:lpstr>
      <vt:lpstr>1.2</vt:lpstr>
      <vt:lpstr>1.3</vt:lpstr>
      <vt:lpstr>1.4</vt:lpstr>
      <vt:lpstr>1.5</vt:lpstr>
      <vt:lpstr>'Методика (раздел 1)'!_Toc262683</vt:lpstr>
      <vt:lpstr>'Методика (раздел 1)'!_Toc510692579</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'Методика (раздел 1)'!Заголовки_для_печати</vt:lpstr>
      <vt:lpstr>'Оценка (раздел 1)'!Заголовки_для_печати</vt:lpstr>
      <vt:lpstr>'Рейтинг (раздел 1)'!Заголовки_для_печати</vt:lpstr>
      <vt:lpstr>'1.1'!Область_печати</vt:lpstr>
      <vt:lpstr>'1.2'!Область_печати</vt:lpstr>
      <vt:lpstr>'1.3'!Область_печати</vt:lpstr>
      <vt:lpstr>'1.4'!Область_печати</vt:lpstr>
      <vt:lpstr>'1.5'!Область_печати</vt:lpstr>
      <vt:lpstr>'Методика (раздел 1)'!Область_печати</vt:lpstr>
      <vt:lpstr>'Оценка (раздел 1)'!Область_печати</vt:lpstr>
      <vt:lpstr>'Рейтинг (раздел 1)'!Область_печати</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Тимофеева Ольга Ивановна</cp:lastModifiedBy>
  <cp:lastPrinted>2020-05-26T10:06:55Z</cp:lastPrinted>
  <dcterms:created xsi:type="dcterms:W3CDTF">2015-12-18T16:44:35Z</dcterms:created>
  <dcterms:modified xsi:type="dcterms:W3CDTF">2023-04-25T09:43:20Z</dcterms:modified>
  <cp:category/>
</cp:coreProperties>
</file>