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AC8B101E-AAB6-AF46-9F30-41F4C6072417}" xr6:coauthVersionLast="47" xr6:coauthVersionMax="47" xr10:uidLastSave="{00000000-0000-0000-0000-000000000000}"/>
  <bookViews>
    <workbookView xWindow="3120" yWindow="920" windowWidth="29180" windowHeight="18020" tabRatio="847" activeTab="1" xr2:uid="{00000000-000D-0000-FFFF-FFFF00000000}"/>
  </bookViews>
  <sheets>
    <sheet name="Рейтинг (раздел 1)" sheetId="92" r:id="rId1"/>
    <sheet name="Оценка (раздел 1)" sheetId="12" r:id="rId2"/>
    <sheet name="Методика (раздел 1)" sheetId="31" r:id="rId3"/>
    <sheet name="1.1" sheetId="87" r:id="rId4"/>
    <sheet name="1.2" sheetId="60" r:id="rId5"/>
    <sheet name="1.3" sheetId="61" r:id="rId6"/>
    <sheet name="1.4" sheetId="78" r:id="rId7"/>
    <sheet name="1.5" sheetId="70" r:id="rId8"/>
  </sheets>
  <definedNames>
    <definedName name="_xlnm._FilterDatabase" localSheetId="3" hidden="1">'1.1'!$A$25:$Q$25</definedName>
    <definedName name="_xlnm._FilterDatabase" localSheetId="4" hidden="1">'1.2'!$A$6:$CT$98</definedName>
    <definedName name="_xlnm._FilterDatabase" localSheetId="5" hidden="1">'1.3'!$A$6:$DR$98</definedName>
    <definedName name="_xlnm._FilterDatabase" localSheetId="6" hidden="1">'1.4'!$A$7:$AQ$102</definedName>
    <definedName name="_xlnm._FilterDatabase" localSheetId="7" hidden="1">'1.5'!$A$7:$N$102</definedName>
    <definedName name="_xlnm._FilterDatabase" localSheetId="1" hidden="1">'Оценка (раздел 1)'!$A$6:$I$99</definedName>
    <definedName name="_xlnm._FilterDatabase" localSheetId="0" hidden="1">'Рейтинг (раздел 1)'!$A$7:$I$95</definedName>
    <definedName name="_Toc262683" localSheetId="2">'Методика (раздел 1)'!$B$4</definedName>
    <definedName name="_Toc477267685" localSheetId="2">'Методика (раздел 1)'!#REF!</definedName>
    <definedName name="_Toc510692579" localSheetId="2">'Методика (раздел 1)'!$B$4</definedName>
    <definedName name="_xlnm.Print_Titles" localSheetId="3">'1.1'!$A:$A,'1.1'!$3:$5</definedName>
    <definedName name="_xlnm.Print_Titles" localSheetId="4">'1.2'!$3:$4</definedName>
    <definedName name="_xlnm.Print_Titles" localSheetId="5">'1.3'!$3:$5</definedName>
    <definedName name="_xlnm.Print_Titles" localSheetId="6">'1.4'!$A:$A,'1.4'!$3:$6</definedName>
    <definedName name="_xlnm.Print_Titles" localSheetId="7">'1.5'!$3:$6</definedName>
    <definedName name="_xlnm.Print_Titles" localSheetId="2">'Методика (раздел 1)'!$2:$3</definedName>
    <definedName name="_xlnm.Print_Titles" localSheetId="1">'Оценка (раздел 1)'!$A:$A,'Оценка (раздел 1)'!$3:$4</definedName>
    <definedName name="_xlnm.Print_Titles" localSheetId="0">'Рейтинг (раздел 1)'!$A:$A,'Рейтинг (раздел 1)'!$3:$4</definedName>
    <definedName name="_xlnm.Print_Area" localSheetId="3">'1.1'!$A$1:$P$98</definedName>
    <definedName name="_xlnm.Print_Area" localSheetId="4">'1.2'!$A$1:$I$98</definedName>
    <definedName name="_xlnm.Print_Area" localSheetId="5">'1.3'!$A$1:$I$98</definedName>
    <definedName name="_xlnm.Print_Area" localSheetId="6">'1.4'!$A$3:$AD$102</definedName>
    <definedName name="_xlnm.Print_Area" localSheetId="7">'1.5'!$A$1:$M$102</definedName>
    <definedName name="_xlnm.Print_Area" localSheetId="2">'Методика (раздел 1)'!$A$1:$E$36</definedName>
    <definedName name="_xlnm.Print_Area" localSheetId="1">'Оценка (раздел 1)'!$A$1:$I$99</definedName>
    <definedName name="_xlnm.Print_Area" localSheetId="0">'Рейтинг (раздел 1)'!$A$1:$I$95</definedName>
    <definedName name="sub_184133" localSheetId="2">'Методика (раздел 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92" l="1"/>
  <c r="H59" i="92"/>
  <c r="G59" i="92"/>
  <c r="F59" i="92"/>
  <c r="E59" i="92"/>
  <c r="I58" i="92"/>
  <c r="H58" i="92"/>
  <c r="G58" i="92"/>
  <c r="F58" i="92"/>
  <c r="E58" i="92"/>
  <c r="I34" i="92"/>
  <c r="H34" i="92"/>
  <c r="G34" i="92"/>
  <c r="F34" i="92"/>
  <c r="E34" i="92"/>
  <c r="I69" i="92"/>
  <c r="H69" i="92"/>
  <c r="G69" i="92"/>
  <c r="F69" i="92"/>
  <c r="E69" i="92"/>
  <c r="I46" i="92"/>
  <c r="H46" i="92"/>
  <c r="G46" i="92"/>
  <c r="F46" i="92"/>
  <c r="E46" i="92"/>
  <c r="I57" i="92"/>
  <c r="H57" i="92"/>
  <c r="G57" i="92"/>
  <c r="F57" i="92"/>
  <c r="E57" i="92"/>
  <c r="I33" i="92"/>
  <c r="H33" i="92"/>
  <c r="G33" i="92"/>
  <c r="F33" i="92"/>
  <c r="E33" i="92"/>
  <c r="I45" i="92"/>
  <c r="H45" i="92"/>
  <c r="G45" i="92"/>
  <c r="F45" i="92"/>
  <c r="E45" i="92"/>
  <c r="I68" i="92"/>
  <c r="H68" i="92"/>
  <c r="G68" i="92"/>
  <c r="F68" i="92"/>
  <c r="E68" i="92"/>
  <c r="I78" i="92"/>
  <c r="H78" i="92"/>
  <c r="G78" i="92"/>
  <c r="F78" i="92"/>
  <c r="E78" i="92"/>
  <c r="I44" i="92"/>
  <c r="H44" i="92"/>
  <c r="G44" i="92"/>
  <c r="F44" i="92"/>
  <c r="E44" i="92"/>
  <c r="I67" i="92"/>
  <c r="H67" i="92"/>
  <c r="G67" i="92"/>
  <c r="F67" i="92"/>
  <c r="E67" i="92"/>
  <c r="I56" i="92"/>
  <c r="H56" i="92"/>
  <c r="G56" i="92"/>
  <c r="F56" i="92"/>
  <c r="E56" i="92"/>
  <c r="I66" i="92"/>
  <c r="H66" i="92"/>
  <c r="G66" i="92"/>
  <c r="F66" i="92"/>
  <c r="E66" i="92"/>
  <c r="I32" i="92"/>
  <c r="H32" i="92"/>
  <c r="G32" i="92"/>
  <c r="F32" i="92"/>
  <c r="E32" i="92"/>
  <c r="I31" i="92"/>
  <c r="H31" i="92"/>
  <c r="G31" i="92"/>
  <c r="F31" i="92"/>
  <c r="E31" i="92"/>
  <c r="I65" i="92"/>
  <c r="H65" i="92"/>
  <c r="G65" i="92"/>
  <c r="F65" i="92"/>
  <c r="E65" i="92"/>
  <c r="I81" i="92"/>
  <c r="H81" i="92"/>
  <c r="G81" i="92"/>
  <c r="F81" i="92"/>
  <c r="E81" i="92"/>
  <c r="I30" i="92"/>
  <c r="H30" i="92"/>
  <c r="G30" i="92"/>
  <c r="F30" i="92"/>
  <c r="E30" i="92"/>
  <c r="I88" i="92"/>
  <c r="H88" i="92"/>
  <c r="G88" i="92"/>
  <c r="F88" i="92"/>
  <c r="E88" i="92"/>
  <c r="I43" i="92"/>
  <c r="H43" i="92"/>
  <c r="G43" i="92"/>
  <c r="F43" i="92"/>
  <c r="E43" i="92"/>
  <c r="I29" i="92"/>
  <c r="H29" i="92"/>
  <c r="G29" i="92"/>
  <c r="F29" i="92"/>
  <c r="E29" i="92"/>
  <c r="D29" i="92" s="1"/>
  <c r="I28" i="92"/>
  <c r="H28" i="92"/>
  <c r="G28" i="92"/>
  <c r="F28" i="92"/>
  <c r="E28" i="92"/>
  <c r="I27" i="92"/>
  <c r="H27" i="92"/>
  <c r="G27" i="92"/>
  <c r="F27" i="92"/>
  <c r="E27" i="92"/>
  <c r="I42" i="92"/>
  <c r="H42" i="92"/>
  <c r="G42" i="92"/>
  <c r="F42" i="92"/>
  <c r="E42" i="92"/>
  <c r="D42" i="92"/>
  <c r="I77" i="92"/>
  <c r="H77" i="92"/>
  <c r="G77" i="92"/>
  <c r="F77" i="92"/>
  <c r="E77" i="92"/>
  <c r="I87" i="92"/>
  <c r="H87" i="92"/>
  <c r="G87" i="92"/>
  <c r="F87" i="92"/>
  <c r="E87" i="92"/>
  <c r="I55" i="92"/>
  <c r="H55" i="92"/>
  <c r="G55" i="92"/>
  <c r="F55" i="92"/>
  <c r="E55" i="92"/>
  <c r="I26" i="92"/>
  <c r="H26" i="92"/>
  <c r="G26" i="92"/>
  <c r="F26" i="92"/>
  <c r="E26" i="92"/>
  <c r="I93" i="92"/>
  <c r="H93" i="92"/>
  <c r="G93" i="92"/>
  <c r="F93" i="92"/>
  <c r="E93" i="92"/>
  <c r="I76" i="92"/>
  <c r="H76" i="92"/>
  <c r="G76" i="92"/>
  <c r="F76" i="92"/>
  <c r="E76" i="92"/>
  <c r="I25" i="92"/>
  <c r="H25" i="92"/>
  <c r="G25" i="92"/>
  <c r="F25" i="92"/>
  <c r="E25" i="92"/>
  <c r="I41" i="92"/>
  <c r="H41" i="92"/>
  <c r="G41" i="92"/>
  <c r="F41" i="92"/>
  <c r="E41" i="92"/>
  <c r="I24" i="92"/>
  <c r="H24" i="92"/>
  <c r="G24" i="92"/>
  <c r="F24" i="92"/>
  <c r="E24" i="92"/>
  <c r="I94" i="92"/>
  <c r="H94" i="92"/>
  <c r="G94" i="92"/>
  <c r="F94" i="92"/>
  <c r="E94" i="92"/>
  <c r="I23" i="92"/>
  <c r="H23" i="92"/>
  <c r="G23" i="92"/>
  <c r="F23" i="92"/>
  <c r="E23" i="92"/>
  <c r="I64" i="92"/>
  <c r="H64" i="92"/>
  <c r="G64" i="92"/>
  <c r="F64" i="92"/>
  <c r="E64" i="92"/>
  <c r="I75" i="92"/>
  <c r="H75" i="92"/>
  <c r="G75" i="92"/>
  <c r="F75" i="92"/>
  <c r="E75" i="92"/>
  <c r="I92" i="92"/>
  <c r="H92" i="92"/>
  <c r="G92" i="92"/>
  <c r="F92" i="92"/>
  <c r="E92" i="92"/>
  <c r="I40" i="92"/>
  <c r="H40" i="92"/>
  <c r="G40" i="92"/>
  <c r="F40" i="92"/>
  <c r="E40" i="92"/>
  <c r="I22" i="92"/>
  <c r="H22" i="92"/>
  <c r="G22" i="92"/>
  <c r="F22" i="92"/>
  <c r="E22" i="92"/>
  <c r="I21" i="92"/>
  <c r="H21" i="92"/>
  <c r="G21" i="92"/>
  <c r="F21" i="92"/>
  <c r="E21" i="92"/>
  <c r="I91" i="92"/>
  <c r="H91" i="92"/>
  <c r="G91" i="92"/>
  <c r="F91" i="92"/>
  <c r="E91" i="92"/>
  <c r="I86" i="92"/>
  <c r="H86" i="92"/>
  <c r="G86" i="92"/>
  <c r="F86" i="92"/>
  <c r="E86" i="92"/>
  <c r="I74" i="92"/>
  <c r="H74" i="92"/>
  <c r="G74" i="92"/>
  <c r="F74" i="92"/>
  <c r="E74" i="92"/>
  <c r="I39" i="92"/>
  <c r="H39" i="92"/>
  <c r="G39" i="92"/>
  <c r="F39" i="92"/>
  <c r="E39" i="92"/>
  <c r="I90" i="92"/>
  <c r="H90" i="92"/>
  <c r="G90" i="92"/>
  <c r="F90" i="92"/>
  <c r="E90" i="92"/>
  <c r="I85" i="92"/>
  <c r="H85" i="92"/>
  <c r="G85" i="92"/>
  <c r="F85" i="92"/>
  <c r="E85" i="92"/>
  <c r="I70" i="92"/>
  <c r="H70" i="92"/>
  <c r="G70" i="92"/>
  <c r="F70" i="92"/>
  <c r="E70" i="92"/>
  <c r="I20" i="92"/>
  <c r="H20" i="92"/>
  <c r="G20" i="92"/>
  <c r="F20" i="92"/>
  <c r="E20" i="92"/>
  <c r="I54" i="92"/>
  <c r="H54" i="92"/>
  <c r="G54" i="92"/>
  <c r="F54" i="92"/>
  <c r="E54" i="92"/>
  <c r="I48" i="92"/>
  <c r="H48" i="92"/>
  <c r="G48" i="92"/>
  <c r="F48" i="92"/>
  <c r="E48" i="92"/>
  <c r="I19" i="92"/>
  <c r="H19" i="92"/>
  <c r="G19" i="92"/>
  <c r="F19" i="92"/>
  <c r="E19" i="92"/>
  <c r="I18" i="92"/>
  <c r="H18" i="92"/>
  <c r="G18" i="92"/>
  <c r="F18" i="92"/>
  <c r="E18" i="92"/>
  <c r="I17" i="92"/>
  <c r="H17" i="92"/>
  <c r="G17" i="92"/>
  <c r="F17" i="92"/>
  <c r="E17" i="92"/>
  <c r="I53" i="92"/>
  <c r="H53" i="92"/>
  <c r="G53" i="92"/>
  <c r="F53" i="92"/>
  <c r="E53" i="92"/>
  <c r="I38" i="92"/>
  <c r="H38" i="92"/>
  <c r="G38" i="92"/>
  <c r="F38" i="92"/>
  <c r="E38" i="92"/>
  <c r="I47" i="92"/>
  <c r="H47" i="92"/>
  <c r="G47" i="92"/>
  <c r="F47" i="92"/>
  <c r="E47" i="92"/>
  <c r="I63" i="92"/>
  <c r="H63" i="92"/>
  <c r="G63" i="92"/>
  <c r="F63" i="92"/>
  <c r="E63" i="92"/>
  <c r="I62" i="92"/>
  <c r="H62" i="92"/>
  <c r="G62" i="92"/>
  <c r="F62" i="92"/>
  <c r="E62" i="92"/>
  <c r="I37" i="92"/>
  <c r="H37" i="92"/>
  <c r="G37" i="92"/>
  <c r="F37" i="92"/>
  <c r="E37" i="92"/>
  <c r="I52" i="92"/>
  <c r="H52" i="92"/>
  <c r="G52" i="92"/>
  <c r="F52" i="92"/>
  <c r="E52" i="92"/>
  <c r="I84" i="92"/>
  <c r="H84" i="92"/>
  <c r="G84" i="92"/>
  <c r="F84" i="92"/>
  <c r="E84" i="92"/>
  <c r="I16" i="92"/>
  <c r="H16" i="92"/>
  <c r="G16" i="92"/>
  <c r="F16" i="92"/>
  <c r="E16" i="92"/>
  <c r="I15" i="92"/>
  <c r="H15" i="92"/>
  <c r="G15" i="92"/>
  <c r="F15" i="92"/>
  <c r="E15" i="92"/>
  <c r="I73" i="92"/>
  <c r="H73" i="92"/>
  <c r="G73" i="92"/>
  <c r="F73" i="92"/>
  <c r="E73" i="92"/>
  <c r="I14" i="92"/>
  <c r="H14" i="92"/>
  <c r="G14" i="92"/>
  <c r="F14" i="92"/>
  <c r="E14" i="92"/>
  <c r="I83" i="92"/>
  <c r="H83" i="92"/>
  <c r="G83" i="92"/>
  <c r="F83" i="92"/>
  <c r="E83" i="92"/>
  <c r="I72" i="92"/>
  <c r="H72" i="92"/>
  <c r="G72" i="92"/>
  <c r="F72" i="92"/>
  <c r="E72" i="92"/>
  <c r="I51" i="92"/>
  <c r="H51" i="92"/>
  <c r="G51" i="92"/>
  <c r="F51" i="92"/>
  <c r="E51" i="92"/>
  <c r="I36" i="92"/>
  <c r="H36" i="92"/>
  <c r="G36" i="92"/>
  <c r="F36" i="92"/>
  <c r="E36" i="92"/>
  <c r="I61" i="92"/>
  <c r="H61" i="92"/>
  <c r="G61" i="92"/>
  <c r="F61" i="92"/>
  <c r="E61" i="92"/>
  <c r="I50" i="92"/>
  <c r="H50" i="92"/>
  <c r="G50" i="92"/>
  <c r="F50" i="92"/>
  <c r="E50" i="92"/>
  <c r="I71" i="92"/>
  <c r="H71" i="92"/>
  <c r="G71" i="92"/>
  <c r="F71" i="92"/>
  <c r="E71" i="92"/>
  <c r="I80" i="92"/>
  <c r="H80" i="92"/>
  <c r="G80" i="92"/>
  <c r="F80" i="92"/>
  <c r="E80" i="92"/>
  <c r="I13" i="92"/>
  <c r="H13" i="92"/>
  <c r="G13" i="92"/>
  <c r="F13" i="92"/>
  <c r="E13" i="92"/>
  <c r="I35" i="92"/>
  <c r="H35" i="92"/>
  <c r="G35" i="92"/>
  <c r="F35" i="92"/>
  <c r="E35" i="92"/>
  <c r="I12" i="92"/>
  <c r="H12" i="92"/>
  <c r="G12" i="92"/>
  <c r="F12" i="92"/>
  <c r="E12" i="92"/>
  <c r="I82" i="92"/>
  <c r="H82" i="92"/>
  <c r="G82" i="92"/>
  <c r="F82" i="92"/>
  <c r="E82" i="92"/>
  <c r="I11" i="92"/>
  <c r="H11" i="92"/>
  <c r="G11" i="92"/>
  <c r="F11" i="92"/>
  <c r="E11" i="92"/>
  <c r="I10" i="92"/>
  <c r="H10" i="92"/>
  <c r="G10" i="92"/>
  <c r="F10" i="92"/>
  <c r="E10" i="92"/>
  <c r="I9" i="92"/>
  <c r="H9" i="92"/>
  <c r="G9" i="92"/>
  <c r="F9" i="92"/>
  <c r="E9" i="92"/>
  <c r="I8" i="92"/>
  <c r="H8" i="92"/>
  <c r="G8" i="92"/>
  <c r="F8" i="92"/>
  <c r="E8" i="92"/>
  <c r="I7" i="92"/>
  <c r="H7" i="92"/>
  <c r="G7" i="92"/>
  <c r="F7" i="92"/>
  <c r="E7" i="92"/>
  <c r="I49" i="92"/>
  <c r="H49" i="92"/>
  <c r="G49" i="92"/>
  <c r="F49" i="92"/>
  <c r="E49" i="92"/>
  <c r="D5" i="92"/>
  <c r="C33" i="92" s="1"/>
  <c r="G76" i="70"/>
  <c r="H39" i="70"/>
  <c r="G18" i="70"/>
  <c r="G11" i="70"/>
  <c r="J49" i="78"/>
  <c r="I49" i="78"/>
  <c r="D30" i="92" l="1"/>
  <c r="D59" i="92"/>
  <c r="D17" i="92"/>
  <c r="D76" i="92"/>
  <c r="D37" i="92"/>
  <c r="C24" i="92"/>
  <c r="D91" i="92"/>
  <c r="D25" i="92"/>
  <c r="D52" i="92"/>
  <c r="C10" i="92"/>
  <c r="C15" i="92"/>
  <c r="D41" i="92"/>
  <c r="C36" i="92"/>
  <c r="B36" i="92" s="1"/>
  <c r="D85" i="92"/>
  <c r="D69" i="92"/>
  <c r="D49" i="92"/>
  <c r="D36" i="92"/>
  <c r="D40" i="92"/>
  <c r="D32" i="92"/>
  <c r="C70" i="92"/>
  <c r="D39" i="92"/>
  <c r="D94" i="92"/>
  <c r="D81" i="92"/>
  <c r="D34" i="92"/>
  <c r="D61" i="92"/>
  <c r="D72" i="92"/>
  <c r="C17" i="92"/>
  <c r="D27" i="92"/>
  <c r="C9" i="92"/>
  <c r="D11" i="92"/>
  <c r="D35" i="92"/>
  <c r="D16" i="92"/>
  <c r="D84" i="92"/>
  <c r="C47" i="92"/>
  <c r="D53" i="92"/>
  <c r="D21" i="92"/>
  <c r="D92" i="92"/>
  <c r="D87" i="92"/>
  <c r="C81" i="92"/>
  <c r="D67" i="92"/>
  <c r="C68" i="92"/>
  <c r="C78" i="92"/>
  <c r="C59" i="92"/>
  <c r="B59" i="92" s="1"/>
  <c r="C42" i="92"/>
  <c r="B42" i="92" s="1"/>
  <c r="C20" i="92"/>
  <c r="C77" i="92"/>
  <c r="C8" i="92"/>
  <c r="C82" i="92"/>
  <c r="C50" i="92"/>
  <c r="C84" i="92"/>
  <c r="C22" i="92"/>
  <c r="D75" i="92"/>
  <c r="D26" i="92"/>
  <c r="D77" i="92"/>
  <c r="D44" i="92"/>
  <c r="D68" i="92"/>
  <c r="B68" i="92" s="1"/>
  <c r="D58" i="92"/>
  <c r="D51" i="92"/>
  <c r="C73" i="92"/>
  <c r="C58" i="92"/>
  <c r="D82" i="92"/>
  <c r="D13" i="92"/>
  <c r="C38" i="92"/>
  <c r="D22" i="92"/>
  <c r="C65" i="92"/>
  <c r="D31" i="92"/>
  <c r="D45" i="92"/>
  <c r="C61" i="92"/>
  <c r="B61" i="92" s="1"/>
  <c r="D12" i="92"/>
  <c r="C11" i="92"/>
  <c r="C71" i="92"/>
  <c r="C16" i="92"/>
  <c r="D18" i="92"/>
  <c r="D74" i="92"/>
  <c r="C21" i="92"/>
  <c r="D23" i="92"/>
  <c r="C41" i="92"/>
  <c r="D65" i="92"/>
  <c r="B65" i="92" s="1"/>
  <c r="D7" i="92"/>
  <c r="D8" i="92"/>
  <c r="D83" i="92"/>
  <c r="D70" i="92"/>
  <c r="D55" i="92"/>
  <c r="D43" i="92"/>
  <c r="D88" i="92"/>
  <c r="D66" i="92"/>
  <c r="D33" i="92"/>
  <c r="B33" i="92" s="1"/>
  <c r="D54" i="92"/>
  <c r="D46" i="92"/>
  <c r="D38" i="92"/>
  <c r="D47" i="92"/>
  <c r="D50" i="92"/>
  <c r="D73" i="92"/>
  <c r="D63" i="92"/>
  <c r="D56" i="92"/>
  <c r="D57" i="92"/>
  <c r="D48" i="92"/>
  <c r="D10" i="92"/>
  <c r="B10" i="92" s="1"/>
  <c r="D71" i="92"/>
  <c r="D14" i="92"/>
  <c r="D62" i="92"/>
  <c r="D19" i="92"/>
  <c r="D20" i="92"/>
  <c r="D86" i="92"/>
  <c r="D64" i="92"/>
  <c r="D93" i="92"/>
  <c r="D28" i="92"/>
  <c r="D78" i="92"/>
  <c r="D15" i="92"/>
  <c r="D9" i="92"/>
  <c r="D80" i="92"/>
  <c r="D90" i="92"/>
  <c r="D24" i="92"/>
  <c r="C53" i="92"/>
  <c r="C85" i="92"/>
  <c r="C40" i="92"/>
  <c r="C25" i="92"/>
  <c r="C27" i="92"/>
  <c r="C31" i="92"/>
  <c r="C45" i="92"/>
  <c r="C80" i="92"/>
  <c r="C14" i="92"/>
  <c r="C63" i="92"/>
  <c r="C54" i="92"/>
  <c r="C91" i="92"/>
  <c r="B91" i="92" s="1"/>
  <c r="C94" i="92"/>
  <c r="C87" i="92"/>
  <c r="C30" i="92"/>
  <c r="B30" i="92" s="1"/>
  <c r="C44" i="92"/>
  <c r="C34" i="92"/>
  <c r="C13" i="92"/>
  <c r="C48" i="92"/>
  <c r="C23" i="92"/>
  <c r="C69" i="92"/>
  <c r="C83" i="92"/>
  <c r="C86" i="92"/>
  <c r="C55" i="92"/>
  <c r="C49" i="92"/>
  <c r="C35" i="92"/>
  <c r="C72" i="92"/>
  <c r="C37" i="92"/>
  <c r="C19" i="92"/>
  <c r="C74" i="92"/>
  <c r="C64" i="92"/>
  <c r="C26" i="92"/>
  <c r="C43" i="92"/>
  <c r="C56" i="92"/>
  <c r="C46" i="92"/>
  <c r="C7" i="92"/>
  <c r="C62" i="92"/>
  <c r="C88" i="92"/>
  <c r="C67" i="92"/>
  <c r="C12" i="92"/>
  <c r="C51" i="92"/>
  <c r="B51" i="92" s="1"/>
  <c r="C52" i="92"/>
  <c r="B52" i="92" s="1"/>
  <c r="C18" i="92"/>
  <c r="C39" i="92"/>
  <c r="C75" i="92"/>
  <c r="C93" i="92"/>
  <c r="C29" i="92"/>
  <c r="B29" i="92" s="1"/>
  <c r="C66" i="92"/>
  <c r="C57" i="92"/>
  <c r="C90" i="92"/>
  <c r="C92" i="92"/>
  <c r="C76" i="92"/>
  <c r="C28" i="92"/>
  <c r="C32" i="92"/>
  <c r="B32" i="92" s="1"/>
  <c r="F49" i="70"/>
  <c r="B45" i="92" l="1"/>
  <c r="B17" i="92"/>
  <c r="B94" i="92"/>
  <c r="B35" i="92"/>
  <c r="B77" i="92"/>
  <c r="B66" i="92"/>
  <c r="B11" i="92"/>
  <c r="B76" i="92"/>
  <c r="B23" i="92"/>
  <c r="B81" i="92"/>
  <c r="B26" i="92"/>
  <c r="B70" i="92"/>
  <c r="B12" i="92"/>
  <c r="B84" i="92"/>
  <c r="B25" i="92"/>
  <c r="B69" i="92"/>
  <c r="B87" i="92"/>
  <c r="B20" i="92"/>
  <c r="B82" i="92"/>
  <c r="B34" i="92"/>
  <c r="B49" i="92"/>
  <c r="B85" i="92"/>
  <c r="B24" i="92"/>
  <c r="B37" i="92"/>
  <c r="B8" i="92"/>
  <c r="B58" i="92"/>
  <c r="B22" i="92"/>
  <c r="B31" i="92"/>
  <c r="B56" i="92"/>
  <c r="B75" i="92"/>
  <c r="B27" i="92"/>
  <c r="B9" i="92"/>
  <c r="B90" i="92"/>
  <c r="B39" i="92"/>
  <c r="B41" i="92"/>
  <c r="B15" i="92"/>
  <c r="B73" i="92"/>
  <c r="B92" i="92"/>
  <c r="B18" i="92"/>
  <c r="B74" i="92"/>
  <c r="B86" i="92"/>
  <c r="B40" i="92"/>
  <c r="B54" i="92"/>
  <c r="B19" i="92"/>
  <c r="B16" i="92"/>
  <c r="B72" i="92"/>
  <c r="B57" i="92"/>
  <c r="B21" i="92"/>
  <c r="B7" i="92"/>
  <c r="B67" i="92"/>
  <c r="B83" i="92"/>
  <c r="B48" i="92"/>
  <c r="B78" i="92"/>
  <c r="B50" i="92"/>
  <c r="B43" i="92"/>
  <c r="B62" i="92"/>
  <c r="B13" i="92"/>
  <c r="B44" i="92"/>
  <c r="B80" i="92"/>
  <c r="B71" i="92"/>
  <c r="B47" i="92"/>
  <c r="B55" i="92"/>
  <c r="B64" i="92"/>
  <c r="B46" i="92"/>
  <c r="B53" i="92"/>
  <c r="B38" i="92"/>
  <c r="B63" i="92"/>
  <c r="B93" i="92"/>
  <c r="B14" i="92"/>
  <c r="B28" i="92"/>
  <c r="B88" i="92"/>
  <c r="G99" i="70"/>
  <c r="F96" i="70"/>
  <c r="J96" i="78"/>
  <c r="G24" i="70"/>
  <c r="G44" i="70"/>
  <c r="H44" i="70"/>
  <c r="G94" i="70"/>
  <c r="G93" i="70"/>
  <c r="G83" i="70"/>
  <c r="G82" i="70"/>
  <c r="G80" i="70"/>
  <c r="G62" i="70" l="1"/>
  <c r="G61" i="70"/>
  <c r="G60" i="70"/>
  <c r="G45" i="70"/>
  <c r="G31" i="70"/>
  <c r="G22" i="70" l="1"/>
  <c r="G19" i="70"/>
  <c r="G20" i="70"/>
  <c r="G12" i="70" l="1"/>
  <c r="G71" i="70"/>
  <c r="F60" i="70"/>
  <c r="M72" i="78"/>
  <c r="M44" i="78"/>
  <c r="M52" i="78"/>
  <c r="W52" i="78" s="1"/>
  <c r="Y52" i="78" s="1"/>
  <c r="M49" i="78"/>
  <c r="V44" i="78"/>
  <c r="T99" i="78"/>
  <c r="S93" i="78"/>
  <c r="I86" i="78"/>
  <c r="K86" i="78"/>
  <c r="W44" i="78" l="1"/>
  <c r="Y44" i="78" s="1"/>
  <c r="N52" i="78"/>
  <c r="V76" i="78"/>
  <c r="V78" i="78"/>
  <c r="V79" i="78"/>
  <c r="V80" i="78"/>
  <c r="V81" i="78"/>
  <c r="V82" i="78"/>
  <c r="V83" i="78"/>
  <c r="V84" i="78"/>
  <c r="V87" i="78"/>
  <c r="V89" i="78"/>
  <c r="V90" i="78"/>
  <c r="V92" i="78"/>
  <c r="V93" i="78"/>
  <c r="V95" i="78"/>
  <c r="V96" i="78"/>
  <c r="V97" i="78"/>
  <c r="V98" i="78"/>
  <c r="V99" i="78"/>
  <c r="M78" i="78"/>
  <c r="M79" i="78"/>
  <c r="N79" i="78" s="1"/>
  <c r="M80" i="78"/>
  <c r="N80" i="78" s="1"/>
  <c r="M81" i="78"/>
  <c r="M82" i="78"/>
  <c r="M83" i="78"/>
  <c r="N83" i="78" s="1"/>
  <c r="M84" i="78"/>
  <c r="N84" i="78" s="1"/>
  <c r="M85" i="78"/>
  <c r="M87" i="78"/>
  <c r="M89" i="78"/>
  <c r="M91" i="78"/>
  <c r="N91" i="78" s="1"/>
  <c r="M94" i="78"/>
  <c r="N94" i="78" s="1"/>
  <c r="M95" i="78"/>
  <c r="N95" i="78" s="1"/>
  <c r="M97" i="78"/>
  <c r="M98" i="78"/>
  <c r="M99" i="78"/>
  <c r="N99" i="78" s="1"/>
  <c r="M76" i="78"/>
  <c r="N76" i="78" s="1"/>
  <c r="W81" i="78" l="1"/>
  <c r="Y81" i="78" s="1"/>
  <c r="W98" i="78"/>
  <c r="Y98" i="78" s="1"/>
  <c r="W89" i="78"/>
  <c r="Y89" i="78" s="1"/>
  <c r="W87" i="78"/>
  <c r="Y87" i="78" s="1"/>
  <c r="W82" i="78"/>
  <c r="Y82" i="78" s="1"/>
  <c r="W80" i="78"/>
  <c r="Y80" i="78" s="1"/>
  <c r="W97" i="78"/>
  <c r="Y97" i="78" s="1"/>
  <c r="N89" i="78"/>
  <c r="N87" i="78"/>
  <c r="W99" i="78"/>
  <c r="Y99" i="78" s="1"/>
  <c r="W78" i="78"/>
  <c r="Y78" i="78" s="1"/>
  <c r="W84" i="78"/>
  <c r="Y84" i="78" s="1"/>
  <c r="N97" i="78"/>
  <c r="N98" i="78"/>
  <c r="W83" i="78"/>
  <c r="Y83" i="78" s="1"/>
  <c r="W95" i="78"/>
  <c r="Y95" i="78" s="1"/>
  <c r="W76" i="78"/>
  <c r="W79" i="78"/>
  <c r="Y79" i="78" s="1"/>
  <c r="V71" i="78"/>
  <c r="V72" i="78"/>
  <c r="W72" i="78" s="1"/>
  <c r="Y72" i="78" s="1"/>
  <c r="V73" i="78"/>
  <c r="V74" i="78"/>
  <c r="V75" i="78"/>
  <c r="M71" i="78"/>
  <c r="M73" i="78"/>
  <c r="N73" i="78" s="1"/>
  <c r="M74" i="78"/>
  <c r="N74" i="78" s="1"/>
  <c r="M75" i="78"/>
  <c r="N75" i="78" s="1"/>
  <c r="M66" i="78"/>
  <c r="I62" i="78"/>
  <c r="M62" i="78" s="1"/>
  <c r="V62" i="78"/>
  <c r="I59" i="78"/>
  <c r="M59" i="78" s="1"/>
  <c r="V57" i="78"/>
  <c r="V58" i="78"/>
  <c r="V59" i="78"/>
  <c r="V61" i="78"/>
  <c r="V65" i="78"/>
  <c r="V66" i="78"/>
  <c r="V67" i="78"/>
  <c r="V68" i="78"/>
  <c r="V69" i="78"/>
  <c r="M57" i="78"/>
  <c r="N57" i="78" s="1"/>
  <c r="M61" i="78"/>
  <c r="N61" i="78" s="1"/>
  <c r="M65" i="78"/>
  <c r="N65" i="78" s="1"/>
  <c r="M67" i="78"/>
  <c r="M68" i="78"/>
  <c r="N68" i="78" s="1"/>
  <c r="M69" i="78"/>
  <c r="I51" i="78"/>
  <c r="N71" i="78" l="1"/>
  <c r="W71" i="78"/>
  <c r="Y71" i="78" s="1"/>
  <c r="W66" i="78"/>
  <c r="Y66" i="78" s="1"/>
  <c r="W61" i="78"/>
  <c r="W75" i="78"/>
  <c r="W67" i="78"/>
  <c r="W68" i="78"/>
  <c r="N67" i="78"/>
  <c r="W57" i="78"/>
  <c r="W74" i="78"/>
  <c r="W69" i="78"/>
  <c r="W65" i="78"/>
  <c r="W73" i="78"/>
  <c r="W59" i="78"/>
  <c r="Y59" i="78" s="1"/>
  <c r="W62" i="78"/>
  <c r="M42" i="78"/>
  <c r="S39" i="78"/>
  <c r="V39" i="78" s="1"/>
  <c r="V49" i="78"/>
  <c r="W49" i="78" s="1"/>
  <c r="Y49" i="78" s="1"/>
  <c r="V50" i="78"/>
  <c r="V51" i="78"/>
  <c r="N54" i="78"/>
  <c r="M48" i="78"/>
  <c r="W48" i="78" s="1"/>
  <c r="Y48" i="78" s="1"/>
  <c r="M50" i="78"/>
  <c r="M51" i="78"/>
  <c r="N51" i="78" s="1"/>
  <c r="M53" i="78"/>
  <c r="N53" i="78" s="1"/>
  <c r="M54" i="78"/>
  <c r="I46" i="78"/>
  <c r="W50" i="78" l="1"/>
  <c r="Y50" i="78" s="1"/>
  <c r="W51" i="78"/>
  <c r="L43" i="78"/>
  <c r="K43" i="78"/>
  <c r="J43" i="78"/>
  <c r="M45" i="78"/>
  <c r="M40" i="78" l="1"/>
  <c r="I39" i="78" l="1"/>
  <c r="V40" i="78"/>
  <c r="V42" i="78"/>
  <c r="W42" i="78" s="1"/>
  <c r="V45" i="78"/>
  <c r="W45" i="78" s="1"/>
  <c r="V46" i="78"/>
  <c r="N45" i="78"/>
  <c r="M39" i="78"/>
  <c r="N42" i="78"/>
  <c r="V27" i="78"/>
  <c r="V28" i="78"/>
  <c r="V31" i="78"/>
  <c r="V33" i="78"/>
  <c r="V34" i="78"/>
  <c r="V36" i="78"/>
  <c r="V37" i="78"/>
  <c r="Q32" i="78"/>
  <c r="I31" i="78"/>
  <c r="W40" i="78" l="1"/>
  <c r="W39" i="78"/>
  <c r="Y39" i="78" s="1"/>
  <c r="M27" i="78"/>
  <c r="W27" i="78" s="1"/>
  <c r="M28" i="78"/>
  <c r="N28" i="78" s="1"/>
  <c r="M30" i="78"/>
  <c r="M31" i="78"/>
  <c r="W31" i="78" s="1"/>
  <c r="M32" i="78"/>
  <c r="N32" i="78" s="1"/>
  <c r="M33" i="78"/>
  <c r="W33" i="78" s="1"/>
  <c r="M34" i="78"/>
  <c r="W34" i="78" s="1"/>
  <c r="M35" i="78"/>
  <c r="M37" i="78"/>
  <c r="N37" i="78" s="1"/>
  <c r="L24" i="78"/>
  <c r="I24" i="78"/>
  <c r="I19" i="78"/>
  <c r="L19" i="78"/>
  <c r="S21" i="78"/>
  <c r="V21" i="78" s="1"/>
  <c r="M10" i="78"/>
  <c r="M21" i="78"/>
  <c r="N21" i="78" s="1"/>
  <c r="M22" i="78"/>
  <c r="N22" i="78" s="1"/>
  <c r="M25" i="78"/>
  <c r="N25" i="78" s="1"/>
  <c r="V20" i="78"/>
  <c r="V22" i="78"/>
  <c r="V25" i="78"/>
  <c r="M11" i="78"/>
  <c r="M13" i="78"/>
  <c r="M17" i="78"/>
  <c r="R19" i="78"/>
  <c r="V19" i="78" s="1"/>
  <c r="N34" i="78" l="1"/>
  <c r="N33" i="78"/>
  <c r="N30" i="78"/>
  <c r="N17" i="78"/>
  <c r="W37" i="78"/>
  <c r="W28" i="78"/>
  <c r="N27" i="78"/>
  <c r="N31" i="78"/>
  <c r="L16" i="78"/>
  <c r="H16" i="78"/>
  <c r="K16" i="78"/>
  <c r="J16" i="78"/>
  <c r="I16" i="78"/>
  <c r="V16" i="78"/>
  <c r="P15" i="78"/>
  <c r="V15" i="78" s="1"/>
  <c r="S15" i="78"/>
  <c r="V14" i="78"/>
  <c r="S13" i="78"/>
  <c r="V13" i="78" s="1"/>
  <c r="N13" i="78"/>
  <c r="R12" i="78"/>
  <c r="V12" i="78" s="1"/>
  <c r="W22" i="78"/>
  <c r="Y22" i="78" s="1"/>
  <c r="V11" i="78"/>
  <c r="W11" i="78" s="1"/>
  <c r="Y11" i="78" s="1"/>
  <c r="N11" i="78"/>
  <c r="V10" i="78"/>
  <c r="N10" i="78"/>
  <c r="P9" i="78"/>
  <c r="L9" i="78"/>
  <c r="K9" i="78"/>
  <c r="J9" i="78"/>
  <c r="I9" i="78"/>
  <c r="H9" i="78"/>
  <c r="I8" i="78"/>
  <c r="M8" i="78" s="1"/>
  <c r="N8" i="78" s="1"/>
  <c r="Q17" i="78"/>
  <c r="V17" i="78" s="1"/>
  <c r="W17" i="78" s="1"/>
  <c r="Y17" i="78" s="1"/>
  <c r="AA9" i="78"/>
  <c r="AA10" i="78"/>
  <c r="AA11" i="78"/>
  <c r="AA12" i="78"/>
  <c r="AA13" i="78"/>
  <c r="AA14" i="78"/>
  <c r="AA15" i="78"/>
  <c r="AA16" i="78"/>
  <c r="AA17" i="78"/>
  <c r="AA18" i="78"/>
  <c r="AA19" i="78"/>
  <c r="AA20" i="78"/>
  <c r="AA21" i="78"/>
  <c r="AA22" i="78"/>
  <c r="AA23" i="78"/>
  <c r="AA24" i="78"/>
  <c r="AA25" i="78"/>
  <c r="AA27" i="78"/>
  <c r="AA28" i="78"/>
  <c r="AA29" i="78"/>
  <c r="AA30" i="78"/>
  <c r="AA31" i="78"/>
  <c r="AA32" i="78"/>
  <c r="AA33" i="78"/>
  <c r="AA34" i="78"/>
  <c r="AA35" i="78"/>
  <c r="AA36" i="78"/>
  <c r="AA37" i="78"/>
  <c r="AA39" i="78"/>
  <c r="AA40" i="78"/>
  <c r="AA41" i="78"/>
  <c r="AA42" i="78"/>
  <c r="AA43" i="78"/>
  <c r="AA44" i="78"/>
  <c r="AA45" i="78"/>
  <c r="AA46" i="78"/>
  <c r="AA48" i="78"/>
  <c r="AA49" i="78"/>
  <c r="AA50" i="78"/>
  <c r="AA51" i="78"/>
  <c r="AA52" i="78"/>
  <c r="AA53" i="78"/>
  <c r="AA54" i="78"/>
  <c r="AA56" i="78"/>
  <c r="AA57" i="78"/>
  <c r="AA58" i="78"/>
  <c r="AA59" i="78"/>
  <c r="AA60" i="78"/>
  <c r="AA61" i="78"/>
  <c r="AA62" i="78"/>
  <c r="AA63" i="78"/>
  <c r="AA64" i="78"/>
  <c r="AA65" i="78"/>
  <c r="AA66" i="78"/>
  <c r="AA67" i="78"/>
  <c r="AA68" i="78"/>
  <c r="AA69" i="78"/>
  <c r="AA71" i="78"/>
  <c r="AA72" i="78"/>
  <c r="AA73" i="78"/>
  <c r="AA74" i="78"/>
  <c r="AA75" i="78"/>
  <c r="AA76" i="78"/>
  <c r="AA78" i="78"/>
  <c r="AA79" i="78"/>
  <c r="AA80" i="78"/>
  <c r="AA81" i="78"/>
  <c r="AA82" i="78"/>
  <c r="AA83" i="78"/>
  <c r="AA84" i="78"/>
  <c r="AA85" i="78"/>
  <c r="AA86" i="78"/>
  <c r="AA87" i="78"/>
  <c r="AA89" i="78"/>
  <c r="AA90" i="78"/>
  <c r="AA91" i="78"/>
  <c r="AA92" i="78"/>
  <c r="AA93" i="78"/>
  <c r="AA94" i="78"/>
  <c r="AA95" i="78"/>
  <c r="AA96" i="78"/>
  <c r="AA97" i="78"/>
  <c r="AA98" i="78"/>
  <c r="AA99" i="78"/>
  <c r="AA8" i="78"/>
  <c r="M9" i="78" l="1"/>
  <c r="N9" i="78" s="1"/>
  <c r="M16" i="78"/>
  <c r="N16" i="78" s="1"/>
  <c r="W10" i="78"/>
  <c r="Y10" i="78" s="1"/>
  <c r="G8" i="61" l="1"/>
  <c r="G9" i="61"/>
  <c r="G10" i="61"/>
  <c r="G11" i="61"/>
  <c r="G12" i="61"/>
  <c r="G13" i="61"/>
  <c r="G14" i="61"/>
  <c r="G15" i="61"/>
  <c r="G16" i="61"/>
  <c r="G17" i="61"/>
  <c r="G18" i="61"/>
  <c r="G19" i="61"/>
  <c r="G20" i="61"/>
  <c r="G21" i="61"/>
  <c r="G22" i="61"/>
  <c r="G23" i="61"/>
  <c r="G24" i="61"/>
  <c r="G26" i="61"/>
  <c r="G27" i="61"/>
  <c r="G28" i="61"/>
  <c r="G29" i="61"/>
  <c r="G30" i="61"/>
  <c r="G31" i="61"/>
  <c r="G32" i="61"/>
  <c r="G33" i="61"/>
  <c r="G34" i="61"/>
  <c r="G35" i="61"/>
  <c r="G36" i="61"/>
  <c r="G38" i="61"/>
  <c r="G39" i="61"/>
  <c r="G40" i="61"/>
  <c r="G41" i="61"/>
  <c r="G42" i="61"/>
  <c r="G43" i="61"/>
  <c r="G44" i="61"/>
  <c r="G45" i="61"/>
  <c r="G47" i="61"/>
  <c r="G48" i="61"/>
  <c r="G49" i="61"/>
  <c r="G50" i="61"/>
  <c r="G51" i="61"/>
  <c r="G52" i="61"/>
  <c r="G53" i="61"/>
  <c r="G55" i="61"/>
  <c r="G56" i="61"/>
  <c r="G57" i="61"/>
  <c r="G58" i="61"/>
  <c r="G59" i="61"/>
  <c r="G60" i="61"/>
  <c r="G61" i="61"/>
  <c r="G62" i="61"/>
  <c r="G63" i="61"/>
  <c r="G64" i="61"/>
  <c r="G65" i="61"/>
  <c r="G66" i="61"/>
  <c r="G67" i="61"/>
  <c r="G68" i="61"/>
  <c r="G70" i="61"/>
  <c r="G71" i="61"/>
  <c r="G72" i="61"/>
  <c r="G73" i="61"/>
  <c r="G74" i="61"/>
  <c r="G75" i="61"/>
  <c r="G77" i="61"/>
  <c r="G78" i="61"/>
  <c r="G79" i="61"/>
  <c r="G80" i="61"/>
  <c r="G81" i="61"/>
  <c r="G82" i="61"/>
  <c r="G83" i="61"/>
  <c r="G84" i="61"/>
  <c r="G85" i="61"/>
  <c r="G86" i="61"/>
  <c r="G88" i="61"/>
  <c r="G89" i="61"/>
  <c r="G90" i="61"/>
  <c r="G91" i="61"/>
  <c r="G92" i="61"/>
  <c r="G93" i="61"/>
  <c r="G94" i="61"/>
  <c r="G95" i="61"/>
  <c r="G96" i="61"/>
  <c r="G97" i="61"/>
  <c r="G98" i="61"/>
  <c r="G7" i="61"/>
  <c r="G8" i="60"/>
  <c r="G9" i="60"/>
  <c r="G10" i="60"/>
  <c r="G11" i="60"/>
  <c r="G12" i="60"/>
  <c r="G13" i="60"/>
  <c r="G14" i="60"/>
  <c r="G15" i="60"/>
  <c r="G16" i="60"/>
  <c r="G17" i="60"/>
  <c r="G18" i="60"/>
  <c r="G19" i="60"/>
  <c r="G20" i="60"/>
  <c r="G21" i="60"/>
  <c r="G22" i="60"/>
  <c r="G23" i="60"/>
  <c r="G24" i="60"/>
  <c r="G26" i="60"/>
  <c r="G27" i="60"/>
  <c r="G28" i="60"/>
  <c r="G29" i="60"/>
  <c r="G30" i="60"/>
  <c r="G31" i="60"/>
  <c r="G32" i="60"/>
  <c r="G33" i="60"/>
  <c r="G34" i="60"/>
  <c r="G35" i="60"/>
  <c r="G36" i="60"/>
  <c r="G38" i="60"/>
  <c r="G39" i="60"/>
  <c r="G40" i="60"/>
  <c r="G41" i="60"/>
  <c r="G42" i="60"/>
  <c r="G43" i="60"/>
  <c r="G44" i="60"/>
  <c r="G45" i="60"/>
  <c r="G47" i="60"/>
  <c r="G48" i="60"/>
  <c r="G49" i="60"/>
  <c r="G50" i="60"/>
  <c r="G51" i="60"/>
  <c r="G52" i="60"/>
  <c r="G53" i="60"/>
  <c r="G55" i="60"/>
  <c r="G56" i="60"/>
  <c r="G57" i="60"/>
  <c r="G58" i="60"/>
  <c r="G59" i="60"/>
  <c r="G60" i="60"/>
  <c r="G61" i="60"/>
  <c r="G62" i="60"/>
  <c r="G63" i="60"/>
  <c r="G64" i="60"/>
  <c r="G65" i="60"/>
  <c r="G66" i="60"/>
  <c r="G67" i="60"/>
  <c r="G68" i="60"/>
  <c r="G70" i="60"/>
  <c r="G71" i="60"/>
  <c r="G72" i="60"/>
  <c r="G73" i="60"/>
  <c r="G74" i="60"/>
  <c r="G75" i="60"/>
  <c r="G77" i="60"/>
  <c r="G78" i="60"/>
  <c r="G79" i="60"/>
  <c r="G80" i="60"/>
  <c r="G81" i="60"/>
  <c r="G82" i="60"/>
  <c r="G83" i="60"/>
  <c r="G84" i="60"/>
  <c r="G85" i="60"/>
  <c r="G86" i="60"/>
  <c r="G88" i="60"/>
  <c r="G89" i="60"/>
  <c r="G90" i="60"/>
  <c r="G91" i="60"/>
  <c r="G92" i="60"/>
  <c r="G93" i="60"/>
  <c r="G94" i="60"/>
  <c r="G95" i="60"/>
  <c r="G96" i="60"/>
  <c r="G97" i="60"/>
  <c r="G98" i="60"/>
  <c r="G7" i="60"/>
  <c r="C98" i="87" l="1"/>
  <c r="F98" i="87" s="1"/>
  <c r="E98" i="12" s="1"/>
  <c r="C97" i="87"/>
  <c r="F97" i="87" s="1"/>
  <c r="E97" i="12" s="1"/>
  <c r="C96" i="87"/>
  <c r="F96" i="87" s="1"/>
  <c r="E96" i="12" s="1"/>
  <c r="C95" i="87"/>
  <c r="F95" i="87" s="1"/>
  <c r="E95" i="12" s="1"/>
  <c r="C94" i="87"/>
  <c r="F94" i="87" s="1"/>
  <c r="E94" i="12" s="1"/>
  <c r="C93" i="87"/>
  <c r="F93" i="87" s="1"/>
  <c r="E93" i="12" s="1"/>
  <c r="C92" i="87"/>
  <c r="F92" i="87" s="1"/>
  <c r="E92" i="12" s="1"/>
  <c r="C91" i="87"/>
  <c r="F91" i="87" s="1"/>
  <c r="E91" i="12" s="1"/>
  <c r="C90" i="87"/>
  <c r="F90" i="87" s="1"/>
  <c r="E90" i="12" s="1"/>
  <c r="C89" i="87"/>
  <c r="F89" i="87" s="1"/>
  <c r="E89" i="12" s="1"/>
  <c r="C88" i="87"/>
  <c r="F88" i="87" s="1"/>
  <c r="E88" i="12" s="1"/>
  <c r="C86" i="87"/>
  <c r="F86" i="87" s="1"/>
  <c r="E86" i="12" s="1"/>
  <c r="C85" i="87"/>
  <c r="F85" i="87" s="1"/>
  <c r="E85" i="12" s="1"/>
  <c r="C84" i="87"/>
  <c r="F84" i="87" s="1"/>
  <c r="E84" i="12" s="1"/>
  <c r="C83" i="87"/>
  <c r="F83" i="87" s="1"/>
  <c r="E83" i="12" s="1"/>
  <c r="C82" i="87"/>
  <c r="F82" i="87" s="1"/>
  <c r="E82" i="12" s="1"/>
  <c r="C81" i="87"/>
  <c r="F81" i="87" s="1"/>
  <c r="E81" i="12" s="1"/>
  <c r="C80" i="87"/>
  <c r="F80" i="87" s="1"/>
  <c r="E80" i="12" s="1"/>
  <c r="C79" i="87"/>
  <c r="F79" i="87" s="1"/>
  <c r="E79" i="12" s="1"/>
  <c r="C78" i="87"/>
  <c r="F78" i="87" s="1"/>
  <c r="E78" i="12" s="1"/>
  <c r="C77" i="87"/>
  <c r="F77" i="87" s="1"/>
  <c r="E77" i="12" s="1"/>
  <c r="C75" i="87"/>
  <c r="F75" i="87" s="1"/>
  <c r="E75" i="12" s="1"/>
  <c r="C74" i="87"/>
  <c r="F74" i="87" s="1"/>
  <c r="E74" i="12" s="1"/>
  <c r="C73" i="87"/>
  <c r="F73" i="87" s="1"/>
  <c r="E73" i="12" s="1"/>
  <c r="C72" i="87"/>
  <c r="F72" i="87" s="1"/>
  <c r="E72" i="12" s="1"/>
  <c r="C71" i="87"/>
  <c r="F71" i="87" s="1"/>
  <c r="E71" i="12" s="1"/>
  <c r="C70" i="87"/>
  <c r="F70" i="87" s="1"/>
  <c r="E70" i="12" s="1"/>
  <c r="C68" i="87"/>
  <c r="F68" i="87" s="1"/>
  <c r="E68" i="12" s="1"/>
  <c r="C67" i="87"/>
  <c r="F67" i="87" s="1"/>
  <c r="E67" i="12" s="1"/>
  <c r="C66" i="87"/>
  <c r="F66" i="87" s="1"/>
  <c r="E66" i="12" s="1"/>
  <c r="C65" i="87"/>
  <c r="F65" i="87" s="1"/>
  <c r="E65" i="12" s="1"/>
  <c r="C64" i="87"/>
  <c r="F64" i="87" s="1"/>
  <c r="E64" i="12" s="1"/>
  <c r="C63" i="87"/>
  <c r="F63" i="87" s="1"/>
  <c r="E63" i="12" s="1"/>
  <c r="C62" i="87"/>
  <c r="F62" i="87" s="1"/>
  <c r="E62" i="12" s="1"/>
  <c r="C61" i="87"/>
  <c r="F61" i="87" s="1"/>
  <c r="E61" i="12" s="1"/>
  <c r="C60" i="87"/>
  <c r="F60" i="87" s="1"/>
  <c r="E60" i="12" s="1"/>
  <c r="C59" i="87"/>
  <c r="F59" i="87" s="1"/>
  <c r="E59" i="12" s="1"/>
  <c r="C58" i="87"/>
  <c r="F58" i="87" s="1"/>
  <c r="E58" i="12" s="1"/>
  <c r="C57" i="87"/>
  <c r="F57" i="87" s="1"/>
  <c r="E57" i="12" s="1"/>
  <c r="C56" i="87"/>
  <c r="F56" i="87" s="1"/>
  <c r="E56" i="12" s="1"/>
  <c r="C55" i="87"/>
  <c r="F55" i="87" s="1"/>
  <c r="E55" i="12" s="1"/>
  <c r="C53" i="87"/>
  <c r="F53" i="87" s="1"/>
  <c r="E53" i="12" s="1"/>
  <c r="C52" i="87"/>
  <c r="F52" i="87" s="1"/>
  <c r="E52" i="12" s="1"/>
  <c r="C51" i="87"/>
  <c r="F51" i="87" s="1"/>
  <c r="E51" i="12" s="1"/>
  <c r="C50" i="87"/>
  <c r="F50" i="87" s="1"/>
  <c r="E50" i="12" s="1"/>
  <c r="C49" i="87"/>
  <c r="F49" i="87" s="1"/>
  <c r="E49" i="12" s="1"/>
  <c r="C48" i="87"/>
  <c r="F48" i="87" s="1"/>
  <c r="E48" i="12" s="1"/>
  <c r="C47" i="87"/>
  <c r="F47" i="87" s="1"/>
  <c r="E47" i="12" s="1"/>
  <c r="C45" i="87"/>
  <c r="F45" i="87" s="1"/>
  <c r="E45" i="12" s="1"/>
  <c r="C44" i="87"/>
  <c r="F44" i="87" s="1"/>
  <c r="E44" i="12" s="1"/>
  <c r="C43" i="87"/>
  <c r="F43" i="87" s="1"/>
  <c r="E43" i="12" s="1"/>
  <c r="C42" i="87"/>
  <c r="F42" i="87" s="1"/>
  <c r="E42" i="12" s="1"/>
  <c r="C41" i="87"/>
  <c r="F41" i="87" s="1"/>
  <c r="E41" i="12" s="1"/>
  <c r="C40" i="87"/>
  <c r="F40" i="87" s="1"/>
  <c r="E40" i="12" s="1"/>
  <c r="C39" i="87"/>
  <c r="F39" i="87" s="1"/>
  <c r="E39" i="12" s="1"/>
  <c r="C38" i="87"/>
  <c r="F38" i="87" s="1"/>
  <c r="E38" i="12" s="1"/>
  <c r="C36" i="87"/>
  <c r="F36" i="87" s="1"/>
  <c r="E36" i="12" s="1"/>
  <c r="C35" i="87"/>
  <c r="F35" i="87" s="1"/>
  <c r="E35" i="12" s="1"/>
  <c r="C34" i="87"/>
  <c r="F34" i="87" s="1"/>
  <c r="E34" i="12" s="1"/>
  <c r="C33" i="87"/>
  <c r="F33" i="87" s="1"/>
  <c r="E33" i="12" s="1"/>
  <c r="C32" i="87"/>
  <c r="F32" i="87" s="1"/>
  <c r="E32" i="12" s="1"/>
  <c r="C31" i="87"/>
  <c r="F31" i="87" s="1"/>
  <c r="E31" i="12" s="1"/>
  <c r="C30" i="87"/>
  <c r="F30" i="87" s="1"/>
  <c r="E30" i="12" s="1"/>
  <c r="C29" i="87"/>
  <c r="F29" i="87" s="1"/>
  <c r="E29" i="12" s="1"/>
  <c r="C28" i="87"/>
  <c r="F28" i="87" s="1"/>
  <c r="E28" i="12" s="1"/>
  <c r="C27" i="87"/>
  <c r="F27" i="87" s="1"/>
  <c r="E27" i="12" s="1"/>
  <c r="C26" i="87"/>
  <c r="F26" i="87" s="1"/>
  <c r="E26" i="12" s="1"/>
  <c r="C24" i="87"/>
  <c r="F24" i="87" s="1"/>
  <c r="E24" i="12" s="1"/>
  <c r="C23" i="87"/>
  <c r="F23" i="87" s="1"/>
  <c r="E23" i="12" s="1"/>
  <c r="C22" i="87"/>
  <c r="F22" i="87" s="1"/>
  <c r="E22" i="12" s="1"/>
  <c r="C21" i="87"/>
  <c r="F21" i="87" s="1"/>
  <c r="E21" i="12" s="1"/>
  <c r="C20" i="87"/>
  <c r="F20" i="87" s="1"/>
  <c r="E20" i="12" s="1"/>
  <c r="C19" i="87"/>
  <c r="F19" i="87" s="1"/>
  <c r="E19" i="12" s="1"/>
  <c r="C18" i="87"/>
  <c r="F18" i="87" s="1"/>
  <c r="E18" i="12" s="1"/>
  <c r="C17" i="87"/>
  <c r="F17" i="87" s="1"/>
  <c r="E17" i="12" s="1"/>
  <c r="C16" i="87"/>
  <c r="F16" i="87" s="1"/>
  <c r="E16" i="12" s="1"/>
  <c r="C15" i="87"/>
  <c r="F15" i="87" s="1"/>
  <c r="E15" i="12" s="1"/>
  <c r="C14" i="87"/>
  <c r="F14" i="87" s="1"/>
  <c r="E14" i="12" s="1"/>
  <c r="C13" i="87"/>
  <c r="F13" i="87" s="1"/>
  <c r="E13" i="12" s="1"/>
  <c r="C12" i="87"/>
  <c r="F12" i="87" s="1"/>
  <c r="E12" i="12" s="1"/>
  <c r="C11" i="87"/>
  <c r="F11" i="87" s="1"/>
  <c r="E11" i="12" s="1"/>
  <c r="C10" i="87"/>
  <c r="F10" i="87" s="1"/>
  <c r="E10" i="12" s="1"/>
  <c r="C9" i="87"/>
  <c r="F9" i="87" s="1"/>
  <c r="E9" i="12" s="1"/>
  <c r="C8" i="87"/>
  <c r="F8" i="87" s="1"/>
  <c r="E8" i="12" s="1"/>
  <c r="C7" i="87"/>
  <c r="F7" i="87" s="1"/>
  <c r="E7" i="12" s="1"/>
  <c r="G89" i="70"/>
  <c r="G90" i="70"/>
  <c r="G91" i="70"/>
  <c r="G95" i="70"/>
  <c r="G97" i="70"/>
  <c r="G98" i="70"/>
  <c r="G87" i="70"/>
  <c r="G85" i="70"/>
  <c r="G84" i="70"/>
  <c r="G81" i="70"/>
  <c r="G79" i="70" l="1"/>
  <c r="G75" i="70"/>
  <c r="G74" i="70"/>
  <c r="G72" i="70" l="1"/>
  <c r="G69" i="70"/>
  <c r="G67" i="70"/>
  <c r="G65" i="70" l="1"/>
  <c r="G64" i="70"/>
  <c r="G63" i="70"/>
  <c r="H60" i="70"/>
  <c r="G59" i="70"/>
  <c r="G58" i="70"/>
  <c r="G57" i="70"/>
  <c r="G56" i="70"/>
  <c r="G54" i="70" l="1"/>
  <c r="G53" i="70"/>
  <c r="G52" i="70"/>
  <c r="G51" i="70"/>
  <c r="G49" i="70"/>
  <c r="H49" i="70" s="1"/>
  <c r="G43" i="70"/>
  <c r="G42" i="70"/>
  <c r="G41" i="70"/>
  <c r="G40" i="70"/>
  <c r="G35" i="70"/>
  <c r="G34" i="70"/>
  <c r="G32" i="70"/>
  <c r="G30" i="70"/>
  <c r="G29" i="70"/>
  <c r="G28" i="70"/>
  <c r="G27" i="70"/>
  <c r="G23" i="70"/>
  <c r="G21" i="70"/>
  <c r="G17" i="70"/>
  <c r="G16" i="70"/>
  <c r="G15" i="70"/>
  <c r="G14" i="70"/>
  <c r="G13" i="70"/>
  <c r="C99" i="70"/>
  <c r="C98" i="70"/>
  <c r="C97" i="70"/>
  <c r="C96" i="70"/>
  <c r="C95" i="70"/>
  <c r="C94" i="70"/>
  <c r="C93" i="70"/>
  <c r="C92" i="70"/>
  <c r="C91" i="70"/>
  <c r="C90" i="70"/>
  <c r="C89" i="70"/>
  <c r="C87" i="70"/>
  <c r="C86" i="70"/>
  <c r="C85" i="70"/>
  <c r="C84" i="70"/>
  <c r="C83" i="70"/>
  <c r="C82" i="70"/>
  <c r="C81" i="70"/>
  <c r="C80" i="70"/>
  <c r="C79" i="70"/>
  <c r="C78" i="70"/>
  <c r="C76" i="70"/>
  <c r="C75" i="70"/>
  <c r="C74" i="70"/>
  <c r="C73" i="70"/>
  <c r="C72" i="70"/>
  <c r="C71" i="70"/>
  <c r="C69" i="70"/>
  <c r="C68" i="70"/>
  <c r="C67" i="70"/>
  <c r="C66" i="70"/>
  <c r="C65" i="70"/>
  <c r="C64" i="70"/>
  <c r="C63" i="70"/>
  <c r="C62" i="70"/>
  <c r="C61" i="70"/>
  <c r="C60" i="70"/>
  <c r="C59" i="70"/>
  <c r="C58" i="70"/>
  <c r="C57" i="70"/>
  <c r="C56" i="70"/>
  <c r="C54" i="70"/>
  <c r="C53" i="70"/>
  <c r="C52" i="70"/>
  <c r="C51" i="70"/>
  <c r="C50" i="70"/>
  <c r="C49" i="70"/>
  <c r="C48" i="70"/>
  <c r="C46" i="70"/>
  <c r="C45" i="70"/>
  <c r="C44" i="70"/>
  <c r="C43" i="70"/>
  <c r="C42" i="70"/>
  <c r="C41" i="70"/>
  <c r="C40" i="70"/>
  <c r="C39" i="70"/>
  <c r="C37" i="70"/>
  <c r="C36" i="70"/>
  <c r="C35" i="70"/>
  <c r="C34" i="70"/>
  <c r="C33" i="70"/>
  <c r="C32" i="70"/>
  <c r="C31" i="70"/>
  <c r="C30" i="70"/>
  <c r="C29" i="70"/>
  <c r="C28" i="70"/>
  <c r="C27" i="70"/>
  <c r="C25" i="70"/>
  <c r="C24" i="70"/>
  <c r="C23" i="70"/>
  <c r="C22" i="70"/>
  <c r="C21" i="70"/>
  <c r="C20" i="70"/>
  <c r="C19" i="70"/>
  <c r="C18" i="70"/>
  <c r="C17" i="70"/>
  <c r="C16" i="70"/>
  <c r="C15" i="70"/>
  <c r="C14" i="70"/>
  <c r="C13" i="70"/>
  <c r="C12" i="70"/>
  <c r="C11" i="70"/>
  <c r="C10" i="70"/>
  <c r="C9" i="70"/>
  <c r="C8" i="70"/>
  <c r="B5" i="70"/>
  <c r="G10" i="70"/>
  <c r="G9" i="70"/>
  <c r="G8" i="70" l="1"/>
  <c r="F99" i="70"/>
  <c r="F10" i="70"/>
  <c r="F11" i="70"/>
  <c r="F13" i="70"/>
  <c r="F14" i="70"/>
  <c r="F17" i="70"/>
  <c r="F20" i="70"/>
  <c r="F21" i="70"/>
  <c r="F22" i="70"/>
  <c r="F27" i="70"/>
  <c r="F28" i="70"/>
  <c r="F30" i="70"/>
  <c r="F32" i="70"/>
  <c r="F33" i="70"/>
  <c r="F34" i="70"/>
  <c r="F35" i="70"/>
  <c r="F37" i="70"/>
  <c r="F40" i="70"/>
  <c r="F42" i="70"/>
  <c r="F43" i="70"/>
  <c r="F45" i="70"/>
  <c r="F46" i="70"/>
  <c r="F48" i="70"/>
  <c r="F50" i="70"/>
  <c r="H50" i="70" s="1"/>
  <c r="F54" i="70"/>
  <c r="F57" i="70"/>
  <c r="F58" i="70"/>
  <c r="F61" i="70"/>
  <c r="F62" i="70"/>
  <c r="F63" i="70"/>
  <c r="F64" i="70"/>
  <c r="F65" i="70"/>
  <c r="F68" i="70"/>
  <c r="F69" i="70"/>
  <c r="F71" i="70"/>
  <c r="H71" i="70" s="1"/>
  <c r="F73" i="70"/>
  <c r="F74" i="70"/>
  <c r="F75" i="70"/>
  <c r="F78" i="70"/>
  <c r="F80" i="70"/>
  <c r="F82" i="70"/>
  <c r="F83" i="70"/>
  <c r="H83" i="70" s="1"/>
  <c r="F84" i="70"/>
  <c r="F85" i="70"/>
  <c r="F87" i="70"/>
  <c r="F89" i="70"/>
  <c r="F91" i="70"/>
  <c r="F92" i="70"/>
  <c r="F94" i="70"/>
  <c r="F95" i="70"/>
  <c r="F97" i="70"/>
  <c r="F98" i="70"/>
  <c r="F8" i="70"/>
  <c r="L96" i="78" l="1"/>
  <c r="K96" i="78"/>
  <c r="I96" i="78"/>
  <c r="M96" i="78" s="1"/>
  <c r="W96" i="78" s="1"/>
  <c r="Y96" i="78" s="1"/>
  <c r="I93" i="78"/>
  <c r="J93" i="78"/>
  <c r="F93" i="70" s="1"/>
  <c r="K93" i="78"/>
  <c r="L93" i="78"/>
  <c r="H93" i="78"/>
  <c r="I92" i="78"/>
  <c r="M92" i="78" s="1"/>
  <c r="P86" i="78"/>
  <c r="S86" i="78"/>
  <c r="J86" i="78"/>
  <c r="F86" i="70" l="1"/>
  <c r="M93" i="78"/>
  <c r="W93" i="78" s="1"/>
  <c r="Y93" i="78" s="1"/>
  <c r="V86" i="78"/>
  <c r="N92" i="78"/>
  <c r="W92" i="78"/>
  <c r="Y92" i="78" s="1"/>
  <c r="S85" i="78"/>
  <c r="V85" i="78" s="1"/>
  <c r="W85" i="78" s="1"/>
  <c r="Y85" i="78" s="1"/>
  <c r="N93" i="78" l="1"/>
  <c r="I60" i="78"/>
  <c r="M60" i="78" s="1"/>
  <c r="W60" i="78" s="1"/>
  <c r="Y60" i="78" s="1"/>
  <c r="I58" i="78" l="1"/>
  <c r="M58" i="78" s="1"/>
  <c r="W58" i="78" s="1"/>
  <c r="Y58" i="78" s="1"/>
  <c r="W25" i="78"/>
  <c r="Y25" i="78" s="1"/>
  <c r="K46" i="78" l="1"/>
  <c r="M46" i="78" s="1"/>
  <c r="W46" i="78" s="1"/>
  <c r="S43" i="78"/>
  <c r="V43" i="78" s="1"/>
  <c r="I43" i="78"/>
  <c r="M43" i="78" s="1"/>
  <c r="S41" i="78"/>
  <c r="P41" i="78"/>
  <c r="V41" i="78" s="1"/>
  <c r="L41" i="78"/>
  <c r="J41" i="78"/>
  <c r="F41" i="70" s="1"/>
  <c r="K41" i="78"/>
  <c r="I41" i="78"/>
  <c r="W43" i="78" l="1"/>
  <c r="M41" i="78"/>
  <c r="W41" i="78" s="1"/>
  <c r="I36" i="78"/>
  <c r="M36" i="78" s="1"/>
  <c r="S32" i="78"/>
  <c r="V32" i="78" s="1"/>
  <c r="W32" i="78" s="1"/>
  <c r="S30" i="78"/>
  <c r="V30" i="78" s="1"/>
  <c r="W30" i="78" s="1"/>
  <c r="S29" i="78"/>
  <c r="P29" i="78"/>
  <c r="V29" i="78" s="1"/>
  <c r="L29" i="78"/>
  <c r="K29" i="78"/>
  <c r="J29" i="78"/>
  <c r="F29" i="70" s="1"/>
  <c r="I29" i="78"/>
  <c r="H29" i="78"/>
  <c r="M29" i="78" l="1"/>
  <c r="W29" i="78" s="1"/>
  <c r="W36" i="78"/>
  <c r="N36" i="78"/>
  <c r="S24" i="78"/>
  <c r="K24" i="78"/>
  <c r="P24" i="78"/>
  <c r="J24" i="78"/>
  <c r="V24" i="78" l="1"/>
  <c r="F24" i="70"/>
  <c r="M24" i="78"/>
  <c r="N29" i="78"/>
  <c r="J19" i="78"/>
  <c r="K19" i="78"/>
  <c r="H19" i="78"/>
  <c r="M18" i="78"/>
  <c r="F16" i="70"/>
  <c r="I14" i="78"/>
  <c r="M14" i="78" s="1"/>
  <c r="N14" i="78" s="1"/>
  <c r="S9" i="78"/>
  <c r="V9" i="78" s="1"/>
  <c r="W9" i="78" s="1"/>
  <c r="Y9" i="78" s="1"/>
  <c r="F9" i="70"/>
  <c r="S8" i="78"/>
  <c r="V8" i="78" s="1"/>
  <c r="W8" i="78" s="1"/>
  <c r="W18" i="78" l="1"/>
  <c r="Y18" i="78" s="1"/>
  <c r="N18" i="78"/>
  <c r="M19" i="78"/>
  <c r="W19" i="78" s="1"/>
  <c r="Y19" i="78" s="1"/>
  <c r="W24" i="78"/>
  <c r="Y24" i="78" s="1"/>
  <c r="Y8" i="78"/>
  <c r="T63" i="78"/>
  <c r="I63" i="78"/>
  <c r="M63" i="78" s="1"/>
  <c r="P63" i="78"/>
  <c r="V63" i="78" s="1"/>
  <c r="S63" i="78"/>
  <c r="T56" i="78"/>
  <c r="S56" i="78"/>
  <c r="P56" i="78"/>
  <c r="V56" i="78" s="1"/>
  <c r="L56" i="78"/>
  <c r="K56" i="78"/>
  <c r="J56" i="78"/>
  <c r="F56" i="70" s="1"/>
  <c r="I56" i="78"/>
  <c r="M56" i="78" s="1"/>
  <c r="H56" i="78"/>
  <c r="S54" i="78"/>
  <c r="V54" i="78" s="1"/>
  <c r="W54" i="78" s="1"/>
  <c r="S53" i="78"/>
  <c r="V53" i="78" s="1"/>
  <c r="W53" i="78" s="1"/>
  <c r="N19" i="78" l="1"/>
  <c r="W63" i="78"/>
  <c r="W56" i="78"/>
  <c r="N56" i="78"/>
  <c r="Y37" i="78"/>
  <c r="S35" i="78"/>
  <c r="P35" i="78"/>
  <c r="V35" i="78" s="1"/>
  <c r="W35" i="78" s="1"/>
  <c r="Y35" i="78" l="1"/>
  <c r="S23" i="78"/>
  <c r="P23" i="78"/>
  <c r="L23" i="78"/>
  <c r="K23" i="78"/>
  <c r="J23" i="78"/>
  <c r="F23" i="70" s="1"/>
  <c r="I23" i="78"/>
  <c r="M23" i="78" s="1"/>
  <c r="H23" i="78"/>
  <c r="I64" i="78"/>
  <c r="M64" i="78" s="1"/>
  <c r="N64" i="78" s="1"/>
  <c r="S64" i="78"/>
  <c r="V64" i="78" s="1"/>
  <c r="V23" i="78" l="1"/>
  <c r="W64" i="78"/>
  <c r="N23" i="78"/>
  <c r="L86" i="78" l="1"/>
  <c r="M86" i="78" s="1"/>
  <c r="W86" i="78" s="1"/>
  <c r="Y86" i="78" s="1"/>
  <c r="I90" i="78"/>
  <c r="M90" i="78" s="1"/>
  <c r="S91" i="78"/>
  <c r="V91" i="78" s="1"/>
  <c r="W91" i="78" s="1"/>
  <c r="Y91" i="78" s="1"/>
  <c r="S94" i="78"/>
  <c r="V94" i="78" s="1"/>
  <c r="W94" i="78" s="1"/>
  <c r="Y94" i="78" s="1"/>
  <c r="I20" i="78"/>
  <c r="M20" i="78" s="1"/>
  <c r="N20" i="78" s="1"/>
  <c r="W90" i="78" l="1"/>
  <c r="Y90" i="78" s="1"/>
  <c r="N90" i="78"/>
  <c r="X15" i="78"/>
  <c r="L15" i="78"/>
  <c r="K15" i="78"/>
  <c r="J15" i="78"/>
  <c r="F15" i="70" s="1"/>
  <c r="I15" i="78"/>
  <c r="M15" i="78" s="1"/>
  <c r="W15" i="78" s="1"/>
  <c r="H15" i="78"/>
  <c r="W13" i="78"/>
  <c r="Y13" i="78" s="1"/>
  <c r="L12" i="78"/>
  <c r="K12" i="78"/>
  <c r="J12" i="78"/>
  <c r="F12" i="70" s="1"/>
  <c r="I12" i="78"/>
  <c r="M12" i="78" s="1"/>
  <c r="W12" i="78" s="1"/>
  <c r="Y12" i="78" s="1"/>
  <c r="H12" i="78"/>
  <c r="N15" i="78" l="1"/>
  <c r="N12" i="78"/>
  <c r="Y15" i="78"/>
  <c r="F32" i="61"/>
  <c r="F30" i="61"/>
  <c r="H35" i="70" l="1"/>
  <c r="H33" i="70"/>
  <c r="H20" i="70"/>
  <c r="H92" i="70"/>
  <c r="H76" i="70"/>
  <c r="H43" i="70" l="1"/>
  <c r="Y34" i="78"/>
  <c r="Y33" i="78"/>
  <c r="Y30" i="78"/>
  <c r="Y28" i="78"/>
  <c r="Y27" i="78"/>
  <c r="W21" i="78"/>
  <c r="Y21" i="78" s="1"/>
  <c r="Y69" i="78"/>
  <c r="W20" i="78"/>
  <c r="Y20" i="78" s="1"/>
  <c r="Y76" i="78" l="1"/>
  <c r="Y73" i="78"/>
  <c r="Y68" i="78"/>
  <c r="Y65" i="78"/>
  <c r="Y63" i="78"/>
  <c r="Y61" i="78"/>
  <c r="Y54" i="78"/>
  <c r="Y53" i="78"/>
  <c r="Y51" i="78"/>
  <c r="Y74" i="78" l="1"/>
  <c r="Y62" i="78"/>
  <c r="Y75" i="78"/>
  <c r="Y45" i="78"/>
  <c r="Y42" i="78"/>
  <c r="Y40" i="78"/>
  <c r="Y32" i="78" l="1"/>
  <c r="Y36" i="78" l="1"/>
  <c r="Y29" i="78" l="1"/>
  <c r="Y43" i="78" l="1"/>
  <c r="Y64" i="78"/>
  <c r="Y56" i="78"/>
  <c r="Y31" i="78"/>
  <c r="Y46" i="78"/>
  <c r="Y41" i="78"/>
  <c r="W14" i="78"/>
  <c r="Y14" i="78" s="1"/>
  <c r="Y67" i="78"/>
  <c r="Y57" i="78"/>
  <c r="W23" i="78" l="1"/>
  <c r="Y23" i="78" s="1"/>
  <c r="W16" i="78"/>
  <c r="Y16" i="78" s="1"/>
  <c r="H78" i="70"/>
  <c r="H95" i="70"/>
  <c r="H99" i="70"/>
  <c r="H98" i="70"/>
  <c r="H97" i="70"/>
  <c r="H94" i="70"/>
  <c r="H91" i="70"/>
  <c r="H89" i="70"/>
  <c r="H87" i="70"/>
  <c r="H85" i="70"/>
  <c r="H86" i="70" l="1"/>
  <c r="H93" i="70"/>
  <c r="H84" i="70"/>
  <c r="H82" i="70" l="1"/>
  <c r="H81" i="70"/>
  <c r="H80" i="70" l="1"/>
  <c r="H75" i="70"/>
  <c r="H74" i="70"/>
  <c r="H73" i="70"/>
  <c r="H72" i="70"/>
  <c r="H69" i="70" l="1"/>
  <c r="H68" i="70"/>
  <c r="G66" i="70"/>
  <c r="H66" i="70" s="1"/>
  <c r="H65" i="70" l="1"/>
  <c r="H64" i="70"/>
  <c r="H63" i="70"/>
  <c r="H62" i="70"/>
  <c r="H61" i="70"/>
  <c r="H58" i="70"/>
  <c r="H57" i="70"/>
  <c r="H54" i="70"/>
  <c r="H52" i="70"/>
  <c r="H56" i="70" l="1"/>
  <c r="H45" i="70"/>
  <c r="H42" i="70" l="1"/>
  <c r="H40" i="70"/>
  <c r="H37" i="70"/>
  <c r="H34" i="70"/>
  <c r="H41" i="70" l="1"/>
  <c r="H32" i="70"/>
  <c r="H30" i="70"/>
  <c r="H28" i="70"/>
  <c r="H27" i="70"/>
  <c r="H22" i="70"/>
  <c r="H21" i="70"/>
  <c r="H18" i="70"/>
  <c r="H17" i="70"/>
  <c r="H14" i="70"/>
  <c r="H13" i="70"/>
  <c r="H11" i="70"/>
  <c r="H10" i="70"/>
  <c r="H8" i="70"/>
  <c r="H23" i="70" l="1"/>
  <c r="H15" i="70"/>
  <c r="H24" i="70"/>
  <c r="H9" i="70"/>
  <c r="H16" i="70"/>
  <c r="H29" i="70"/>
  <c r="H12" i="70"/>
  <c r="B6" i="78" l="1"/>
  <c r="Z9" i="78" l="1"/>
  <c r="Z10" i="78"/>
  <c r="Z11" i="78"/>
  <c r="Z12" i="78"/>
  <c r="Z13" i="78"/>
  <c r="Z14" i="78"/>
  <c r="Z15" i="78"/>
  <c r="Z16" i="78"/>
  <c r="Z17" i="78"/>
  <c r="Z18" i="78"/>
  <c r="Z19" i="78"/>
  <c r="Z20" i="78"/>
  <c r="Z21" i="78"/>
  <c r="Z22" i="78"/>
  <c r="Z23" i="78"/>
  <c r="Z24" i="78"/>
  <c r="Z25" i="78"/>
  <c r="Z27" i="78"/>
  <c r="Z28" i="78"/>
  <c r="Z29" i="78"/>
  <c r="Z30" i="78"/>
  <c r="Z31" i="78"/>
  <c r="Z32" i="78"/>
  <c r="Z33" i="78"/>
  <c r="Z34" i="78"/>
  <c r="Z35" i="78"/>
  <c r="Z36" i="78"/>
  <c r="Z37" i="78"/>
  <c r="Z39" i="78"/>
  <c r="Z40" i="78"/>
  <c r="Z41" i="78"/>
  <c r="Z42" i="78"/>
  <c r="Z43" i="78"/>
  <c r="Z44" i="78"/>
  <c r="Z45" i="78"/>
  <c r="Z46" i="78"/>
  <c r="Z48" i="78"/>
  <c r="Z49" i="78"/>
  <c r="Z50" i="78"/>
  <c r="Z51" i="78"/>
  <c r="Z52" i="78"/>
  <c r="Z53" i="78"/>
  <c r="Z54" i="78"/>
  <c r="Z56" i="78"/>
  <c r="Z57" i="78"/>
  <c r="Z58" i="78"/>
  <c r="Z59" i="78"/>
  <c r="Z60" i="78"/>
  <c r="Z61" i="78"/>
  <c r="Z62" i="78"/>
  <c r="Z63" i="78"/>
  <c r="Z64" i="78"/>
  <c r="Z65" i="78"/>
  <c r="Z66" i="78"/>
  <c r="Z67" i="78"/>
  <c r="Z68" i="78"/>
  <c r="Z69" i="78"/>
  <c r="Z71" i="78"/>
  <c r="Z72" i="78"/>
  <c r="Z73" i="78"/>
  <c r="Z74" i="78"/>
  <c r="Z75" i="78"/>
  <c r="Z76" i="78"/>
  <c r="Z78" i="78"/>
  <c r="Z79" i="78"/>
  <c r="Z80" i="78"/>
  <c r="Z81" i="78"/>
  <c r="Z82" i="78"/>
  <c r="Z83" i="78"/>
  <c r="Z84" i="78"/>
  <c r="Z85" i="78"/>
  <c r="Z86" i="78"/>
  <c r="Z87" i="78"/>
  <c r="Z89" i="78"/>
  <c r="Z90" i="78"/>
  <c r="Z91" i="78"/>
  <c r="Z92" i="78"/>
  <c r="Z93" i="78"/>
  <c r="Z94" i="78"/>
  <c r="Z95" i="78"/>
  <c r="Z96" i="78"/>
  <c r="Z97" i="78"/>
  <c r="Z98" i="78"/>
  <c r="Z99" i="78"/>
  <c r="F8" i="61"/>
  <c r="F9" i="61"/>
  <c r="F10" i="61"/>
  <c r="F11" i="61"/>
  <c r="F12" i="61"/>
  <c r="F13" i="61"/>
  <c r="F14" i="61"/>
  <c r="F15" i="61"/>
  <c r="F16" i="61"/>
  <c r="F17" i="61"/>
  <c r="F18" i="61"/>
  <c r="F19" i="61"/>
  <c r="F20" i="61"/>
  <c r="F21" i="61"/>
  <c r="F22" i="61"/>
  <c r="F23" i="61"/>
  <c r="F24" i="61"/>
  <c r="F26" i="61"/>
  <c r="F27" i="61"/>
  <c r="F28" i="61"/>
  <c r="F29" i="61"/>
  <c r="F31" i="61"/>
  <c r="F33" i="61"/>
  <c r="F34" i="61"/>
  <c r="F35" i="61"/>
  <c r="F36" i="61"/>
  <c r="F38" i="61"/>
  <c r="F39" i="61"/>
  <c r="F40" i="61"/>
  <c r="F41" i="61"/>
  <c r="F42" i="61"/>
  <c r="F43" i="61"/>
  <c r="F44" i="61"/>
  <c r="F45" i="61"/>
  <c r="F47" i="61"/>
  <c r="F48" i="61"/>
  <c r="F49" i="61"/>
  <c r="F50" i="61"/>
  <c r="F51" i="61"/>
  <c r="F52" i="61"/>
  <c r="F53" i="61"/>
  <c r="F55" i="61"/>
  <c r="F56" i="61"/>
  <c r="F57" i="61"/>
  <c r="F58" i="61"/>
  <c r="F59" i="61"/>
  <c r="F60" i="61"/>
  <c r="F61" i="61"/>
  <c r="F62" i="61"/>
  <c r="F63" i="61"/>
  <c r="F64" i="61"/>
  <c r="F65" i="61"/>
  <c r="F66" i="61"/>
  <c r="F67" i="61"/>
  <c r="F68" i="61"/>
  <c r="F70" i="61"/>
  <c r="F71" i="61"/>
  <c r="F72" i="61"/>
  <c r="F73" i="61"/>
  <c r="F74" i="61"/>
  <c r="F75" i="61"/>
  <c r="F77" i="61"/>
  <c r="F78" i="61"/>
  <c r="F79" i="61"/>
  <c r="F80" i="61"/>
  <c r="F81" i="61"/>
  <c r="F82" i="61"/>
  <c r="F83" i="61"/>
  <c r="F84" i="61"/>
  <c r="F85" i="61"/>
  <c r="F86" i="61"/>
  <c r="F88" i="61"/>
  <c r="F89" i="61"/>
  <c r="F90" i="61"/>
  <c r="F91" i="61"/>
  <c r="F92" i="61"/>
  <c r="F93" i="61"/>
  <c r="F94" i="61"/>
  <c r="F95" i="61"/>
  <c r="F96" i="61"/>
  <c r="F97" i="61"/>
  <c r="F98" i="61"/>
  <c r="Z8" i="78" l="1"/>
  <c r="B3" i="60"/>
  <c r="I45" i="12" l="1"/>
  <c r="F7" i="61" l="1"/>
  <c r="B3" i="78" l="1"/>
  <c r="C7" i="61"/>
  <c r="B3" i="70"/>
  <c r="B3" i="61"/>
  <c r="B6" i="70"/>
  <c r="B4" i="70"/>
  <c r="B5" i="78"/>
  <c r="B4" i="78"/>
  <c r="B5" i="61"/>
  <c r="B4" i="61"/>
  <c r="B5" i="60"/>
  <c r="B4" i="60"/>
  <c r="E76" i="70"/>
  <c r="E31" i="70"/>
  <c r="C8" i="60"/>
  <c r="C9" i="60"/>
  <c r="C10" i="60"/>
  <c r="C11" i="60"/>
  <c r="C12" i="60"/>
  <c r="C13" i="60"/>
  <c r="C14" i="60"/>
  <c r="C15" i="60"/>
  <c r="C16" i="60"/>
  <c r="C17" i="60"/>
  <c r="C18" i="60"/>
  <c r="C19" i="60"/>
  <c r="C20" i="60"/>
  <c r="C21" i="60"/>
  <c r="C22" i="60"/>
  <c r="C23" i="60"/>
  <c r="C24" i="60"/>
  <c r="C26" i="60"/>
  <c r="C27" i="60"/>
  <c r="C28" i="60"/>
  <c r="C29" i="60"/>
  <c r="C30" i="60"/>
  <c r="C31" i="60"/>
  <c r="C32" i="60"/>
  <c r="C33" i="60"/>
  <c r="C34" i="60"/>
  <c r="C35" i="60"/>
  <c r="C36" i="60"/>
  <c r="C38" i="60"/>
  <c r="C39" i="60"/>
  <c r="C40" i="60"/>
  <c r="C41" i="60"/>
  <c r="C42" i="60"/>
  <c r="C43" i="60"/>
  <c r="C44" i="60"/>
  <c r="C45" i="60"/>
  <c r="C47" i="60"/>
  <c r="C48" i="60"/>
  <c r="C49" i="60"/>
  <c r="C50" i="60"/>
  <c r="C51" i="60"/>
  <c r="C52" i="60"/>
  <c r="C53" i="60"/>
  <c r="C55" i="60"/>
  <c r="C56" i="60"/>
  <c r="C57" i="60"/>
  <c r="C58" i="60"/>
  <c r="C59" i="60"/>
  <c r="C60" i="60"/>
  <c r="C61" i="60"/>
  <c r="C62" i="60"/>
  <c r="C63" i="60"/>
  <c r="C64" i="60"/>
  <c r="C65" i="60"/>
  <c r="C66" i="60"/>
  <c r="C67" i="60"/>
  <c r="C68" i="60"/>
  <c r="C70" i="60"/>
  <c r="C71" i="60"/>
  <c r="C72" i="60"/>
  <c r="C73" i="60"/>
  <c r="C74" i="60"/>
  <c r="C75" i="60"/>
  <c r="C77" i="60"/>
  <c r="C88" i="60"/>
  <c r="C78" i="60"/>
  <c r="C79" i="60"/>
  <c r="C80" i="60"/>
  <c r="C90" i="60"/>
  <c r="C81" i="60"/>
  <c r="C82" i="60"/>
  <c r="C83" i="60"/>
  <c r="C84" i="60"/>
  <c r="C85" i="60"/>
  <c r="C86" i="60"/>
  <c r="C89" i="60"/>
  <c r="C91" i="60"/>
  <c r="C92" i="60"/>
  <c r="C93" i="60"/>
  <c r="C94" i="60"/>
  <c r="C95" i="60"/>
  <c r="C96" i="60"/>
  <c r="C97" i="60"/>
  <c r="C98" i="60"/>
  <c r="E8" i="70"/>
  <c r="E27" i="70"/>
  <c r="E28" i="70"/>
  <c r="E29" i="70"/>
  <c r="E30" i="70"/>
  <c r="E32" i="70"/>
  <c r="E33" i="70"/>
  <c r="E34" i="70"/>
  <c r="E35" i="70"/>
  <c r="I35" i="12"/>
  <c r="E37" i="70"/>
  <c r="E39" i="70"/>
  <c r="E40" i="70"/>
  <c r="E41" i="70"/>
  <c r="E42" i="70"/>
  <c r="E43" i="70"/>
  <c r="E44" i="70"/>
  <c r="E45" i="70"/>
  <c r="E48" i="70"/>
  <c r="E49" i="70"/>
  <c r="E50" i="70"/>
  <c r="E51" i="70"/>
  <c r="E52" i="70"/>
  <c r="E53" i="70"/>
  <c r="E54" i="70"/>
  <c r="E56" i="70"/>
  <c r="E57" i="70"/>
  <c r="E58" i="70"/>
  <c r="E59" i="70"/>
  <c r="E60" i="70"/>
  <c r="E61" i="70"/>
  <c r="E62" i="70"/>
  <c r="E63" i="70"/>
  <c r="E64" i="70"/>
  <c r="E65" i="70"/>
  <c r="E66" i="70"/>
  <c r="E67" i="70"/>
  <c r="E68" i="70"/>
  <c r="E69" i="70"/>
  <c r="E71" i="70"/>
  <c r="E72" i="70"/>
  <c r="E73" i="70"/>
  <c r="E74" i="70"/>
  <c r="E75" i="70"/>
  <c r="E78" i="70"/>
  <c r="E89" i="70"/>
  <c r="E79" i="70"/>
  <c r="E80" i="70"/>
  <c r="E81" i="70"/>
  <c r="E91" i="70"/>
  <c r="E82" i="70"/>
  <c r="E83" i="70"/>
  <c r="E84" i="70"/>
  <c r="E85" i="70"/>
  <c r="E87" i="70"/>
  <c r="E93" i="70"/>
  <c r="E94" i="70"/>
  <c r="E95" i="70"/>
  <c r="E96" i="70"/>
  <c r="E97" i="70"/>
  <c r="E98" i="70"/>
  <c r="E99" i="70"/>
  <c r="E9" i="70"/>
  <c r="E10" i="70"/>
  <c r="E11" i="70"/>
  <c r="E12" i="70"/>
  <c r="E13" i="70"/>
  <c r="E14" i="70"/>
  <c r="E15" i="70"/>
  <c r="E16" i="70"/>
  <c r="E17" i="70"/>
  <c r="E18" i="70"/>
  <c r="E19" i="70"/>
  <c r="E20" i="70"/>
  <c r="E21" i="70"/>
  <c r="E22" i="70"/>
  <c r="E23" i="70"/>
  <c r="E24" i="70"/>
  <c r="E86" i="70"/>
  <c r="E90" i="70"/>
  <c r="E92" i="70"/>
  <c r="AP110" i="78"/>
  <c r="AP112" i="78"/>
  <c r="C8" i="61"/>
  <c r="C9" i="61"/>
  <c r="C10" i="61"/>
  <c r="C11" i="61"/>
  <c r="C12" i="61"/>
  <c r="C13" i="61"/>
  <c r="C14" i="61"/>
  <c r="C15" i="61"/>
  <c r="C16" i="61"/>
  <c r="C17" i="61"/>
  <c r="C18" i="61"/>
  <c r="C19" i="61"/>
  <c r="C20" i="61"/>
  <c r="C21" i="61"/>
  <c r="C22" i="61"/>
  <c r="C23" i="61"/>
  <c r="C24" i="61"/>
  <c r="C26" i="61"/>
  <c r="C27" i="61"/>
  <c r="C28" i="61"/>
  <c r="C29" i="61"/>
  <c r="C30" i="61"/>
  <c r="C31" i="61"/>
  <c r="C32" i="61"/>
  <c r="C33" i="61"/>
  <c r="C34" i="61"/>
  <c r="C35" i="61"/>
  <c r="C36" i="61"/>
  <c r="C38" i="61"/>
  <c r="C39" i="61"/>
  <c r="C40" i="61"/>
  <c r="C41" i="61"/>
  <c r="C42" i="61"/>
  <c r="C43" i="61"/>
  <c r="C44" i="61"/>
  <c r="C45" i="61"/>
  <c r="C47" i="61"/>
  <c r="C48" i="61"/>
  <c r="C49" i="61"/>
  <c r="C50" i="61"/>
  <c r="C51" i="61"/>
  <c r="C52" i="61"/>
  <c r="C53" i="61"/>
  <c r="C55" i="61"/>
  <c r="C56" i="61"/>
  <c r="C57" i="61"/>
  <c r="C58" i="61"/>
  <c r="C59" i="61"/>
  <c r="C60" i="61"/>
  <c r="C61" i="61"/>
  <c r="C62" i="61"/>
  <c r="C63" i="61"/>
  <c r="C64" i="61"/>
  <c r="C65" i="61"/>
  <c r="C66" i="61"/>
  <c r="C67" i="61"/>
  <c r="C68" i="61"/>
  <c r="C70" i="61"/>
  <c r="C71" i="61"/>
  <c r="C72" i="61"/>
  <c r="C73" i="61"/>
  <c r="C74" i="61"/>
  <c r="C75" i="61"/>
  <c r="C77" i="61"/>
  <c r="C88" i="61"/>
  <c r="C78" i="61"/>
  <c r="C79" i="61"/>
  <c r="C80" i="61"/>
  <c r="C90" i="61"/>
  <c r="C81" i="61"/>
  <c r="C82" i="61"/>
  <c r="C83" i="61"/>
  <c r="C84" i="61"/>
  <c r="C85" i="61"/>
  <c r="C86" i="61"/>
  <c r="C89" i="61"/>
  <c r="C91" i="61"/>
  <c r="C92" i="61"/>
  <c r="C93" i="61"/>
  <c r="C94" i="61"/>
  <c r="C95" i="61"/>
  <c r="C96" i="61"/>
  <c r="C97" i="61"/>
  <c r="C98" i="61"/>
  <c r="C7" i="60"/>
  <c r="D5" i="12"/>
  <c r="F18" i="12" l="1"/>
  <c r="F10" i="12"/>
  <c r="F7" i="12"/>
  <c r="C35" i="12"/>
  <c r="C24" i="12"/>
  <c r="C45" i="12"/>
  <c r="F22" i="12"/>
  <c r="F71" i="12"/>
  <c r="F31" i="12"/>
  <c r="F52" i="12"/>
  <c r="C8" i="78"/>
  <c r="E8" i="78" s="1"/>
  <c r="C10" i="12"/>
  <c r="C18" i="12"/>
  <c r="C28" i="12"/>
  <c r="C38" i="12"/>
  <c r="C48" i="12"/>
  <c r="C57" i="12"/>
  <c r="C65" i="12"/>
  <c r="C74" i="12"/>
  <c r="C83" i="12"/>
  <c r="C92" i="12"/>
  <c r="C7" i="12"/>
  <c r="C58" i="12"/>
  <c r="C75" i="12"/>
  <c r="C84" i="12"/>
  <c r="C93" i="12"/>
  <c r="C12" i="12"/>
  <c r="C30" i="12"/>
  <c r="C50" i="12"/>
  <c r="C67" i="12"/>
  <c r="C85" i="12"/>
  <c r="C11" i="12"/>
  <c r="C19" i="12"/>
  <c r="C29" i="12"/>
  <c r="C39" i="12"/>
  <c r="C49" i="12"/>
  <c r="C66" i="12"/>
  <c r="C40" i="12"/>
  <c r="C77" i="12"/>
  <c r="C94" i="12"/>
  <c r="C13" i="12"/>
  <c r="C31" i="12"/>
  <c r="C41" i="12"/>
  <c r="C60" i="12"/>
  <c r="C78" i="12"/>
  <c r="C95" i="12"/>
  <c r="C14" i="12"/>
  <c r="C22" i="12"/>
  <c r="C32" i="12"/>
  <c r="C52" i="12"/>
  <c r="C70" i="12"/>
  <c r="C88" i="12"/>
  <c r="C33" i="12"/>
  <c r="C62" i="12"/>
  <c r="C89" i="12"/>
  <c r="C34" i="12"/>
  <c r="C55" i="12"/>
  <c r="C81" i="12"/>
  <c r="C9" i="12"/>
  <c r="C36" i="12"/>
  <c r="C64" i="12"/>
  <c r="C91" i="12"/>
  <c r="C20" i="12"/>
  <c r="C59" i="12"/>
  <c r="C21" i="12"/>
  <c r="C51" i="12"/>
  <c r="C68" i="12"/>
  <c r="C86" i="12"/>
  <c r="C42" i="12"/>
  <c r="C61" i="12"/>
  <c r="C79" i="12"/>
  <c r="C96" i="12"/>
  <c r="C15" i="12"/>
  <c r="C23" i="12"/>
  <c r="C43" i="12"/>
  <c r="C71" i="12"/>
  <c r="C80" i="12"/>
  <c r="C97" i="12"/>
  <c r="C16" i="12"/>
  <c r="C26" i="12"/>
  <c r="C44" i="12"/>
  <c r="C63" i="12"/>
  <c r="C90" i="12"/>
  <c r="C17" i="12"/>
  <c r="C47" i="12"/>
  <c r="C73" i="12"/>
  <c r="C8" i="12"/>
  <c r="C53" i="12"/>
  <c r="C72" i="12"/>
  <c r="C98" i="12"/>
  <c r="C27" i="12"/>
  <c r="C56" i="12"/>
  <c r="C82" i="12"/>
  <c r="C9" i="78"/>
  <c r="E9" i="78" s="1"/>
  <c r="C13" i="78"/>
  <c r="E13" i="78" s="1"/>
  <c r="C17" i="78"/>
  <c r="E17" i="78" s="1"/>
  <c r="C21" i="78"/>
  <c r="E21" i="78" s="1"/>
  <c r="C25" i="78"/>
  <c r="E25" i="78" s="1"/>
  <c r="C29" i="78"/>
  <c r="E29" i="78" s="1"/>
  <c r="C33" i="78"/>
  <c r="E33" i="78" s="1"/>
  <c r="C37" i="78"/>
  <c r="E37" i="78" s="1"/>
  <c r="C41" i="78"/>
  <c r="E41" i="78" s="1"/>
  <c r="C45" i="78"/>
  <c r="E45" i="78" s="1"/>
  <c r="C49" i="78"/>
  <c r="E49" i="78" s="1"/>
  <c r="C53" i="78"/>
  <c r="E53" i="78" s="1"/>
  <c r="C57" i="78"/>
  <c r="E57" i="78" s="1"/>
  <c r="C61" i="78"/>
  <c r="E61" i="78" s="1"/>
  <c r="C65" i="78"/>
  <c r="E65" i="78" s="1"/>
  <c r="C69" i="78"/>
  <c r="E69" i="78" s="1"/>
  <c r="C73" i="78"/>
  <c r="E73" i="78" s="1"/>
  <c r="C81" i="78"/>
  <c r="E81" i="78" s="1"/>
  <c r="C85" i="78"/>
  <c r="E85" i="78" s="1"/>
  <c r="C89" i="78"/>
  <c r="E89" i="78" s="1"/>
  <c r="C93" i="78"/>
  <c r="E93" i="78" s="1"/>
  <c r="C97" i="78"/>
  <c r="E97" i="78" s="1"/>
  <c r="C14" i="78"/>
  <c r="E14" i="78" s="1"/>
  <c r="C34" i="78"/>
  <c r="E34" i="78" s="1"/>
  <c r="C42" i="78"/>
  <c r="E42" i="78" s="1"/>
  <c r="C50" i="78"/>
  <c r="E50" i="78" s="1"/>
  <c r="C58" i="78"/>
  <c r="E58" i="78" s="1"/>
  <c r="C66" i="78"/>
  <c r="E66" i="78" s="1"/>
  <c r="C74" i="78"/>
  <c r="E74" i="78" s="1"/>
  <c r="C82" i="78"/>
  <c r="E82" i="78" s="1"/>
  <c r="C90" i="78"/>
  <c r="E90" i="78" s="1"/>
  <c r="C98" i="78"/>
  <c r="E98" i="78" s="1"/>
  <c r="C10" i="78"/>
  <c r="E10" i="78" s="1"/>
  <c r="C11" i="78"/>
  <c r="E11" i="78" s="1"/>
  <c r="C15" i="78"/>
  <c r="E15" i="78" s="1"/>
  <c r="C19" i="78"/>
  <c r="E19" i="78" s="1"/>
  <c r="C23" i="78"/>
  <c r="E23" i="78" s="1"/>
  <c r="C27" i="78"/>
  <c r="E27" i="78" s="1"/>
  <c r="C31" i="78"/>
  <c r="E31" i="78" s="1"/>
  <c r="C35" i="78"/>
  <c r="E35" i="78" s="1"/>
  <c r="C39" i="78"/>
  <c r="E39" i="78" s="1"/>
  <c r="C43" i="78"/>
  <c r="E43" i="78" s="1"/>
  <c r="C51" i="78"/>
  <c r="E51" i="78" s="1"/>
  <c r="C59" i="78"/>
  <c r="E59" i="78" s="1"/>
  <c r="C63" i="78"/>
  <c r="E63" i="78" s="1"/>
  <c r="C67" i="78"/>
  <c r="E67" i="78" s="1"/>
  <c r="C71" i="78"/>
  <c r="E71" i="78" s="1"/>
  <c r="C75" i="78"/>
  <c r="E75" i="78" s="1"/>
  <c r="C79" i="78"/>
  <c r="E79" i="78" s="1"/>
  <c r="C83" i="78"/>
  <c r="E83" i="78" s="1"/>
  <c r="C87" i="78"/>
  <c r="E87" i="78" s="1"/>
  <c r="C91" i="78"/>
  <c r="E91" i="78" s="1"/>
  <c r="C95" i="78"/>
  <c r="E95" i="78" s="1"/>
  <c r="C99" i="78"/>
  <c r="E99" i="78" s="1"/>
  <c r="C12" i="78"/>
  <c r="E12" i="78" s="1"/>
  <c r="C16" i="78"/>
  <c r="E16" i="78" s="1"/>
  <c r="C20" i="78"/>
  <c r="E20" i="78" s="1"/>
  <c r="C24" i="78"/>
  <c r="E24" i="78" s="1"/>
  <c r="C28" i="78"/>
  <c r="E28" i="78" s="1"/>
  <c r="C32" i="78"/>
  <c r="E32" i="78" s="1"/>
  <c r="C36" i="78"/>
  <c r="E36" i="78" s="1"/>
  <c r="C40" i="78"/>
  <c r="E40" i="78" s="1"/>
  <c r="C44" i="78"/>
  <c r="E44" i="78" s="1"/>
  <c r="C48" i="78"/>
  <c r="E48" i="78" s="1"/>
  <c r="C52" i="78"/>
  <c r="E52" i="78" s="1"/>
  <c r="C56" i="78"/>
  <c r="E56" i="78" s="1"/>
  <c r="C60" i="78"/>
  <c r="E60" i="78" s="1"/>
  <c r="C64" i="78"/>
  <c r="E64" i="78" s="1"/>
  <c r="C68" i="78"/>
  <c r="E68" i="78" s="1"/>
  <c r="C72" i="78"/>
  <c r="E72" i="78" s="1"/>
  <c r="C76" i="78"/>
  <c r="E76" i="78" s="1"/>
  <c r="C80" i="78"/>
  <c r="E80" i="78" s="1"/>
  <c r="C84" i="78"/>
  <c r="E84" i="78" s="1"/>
  <c r="C92" i="78"/>
  <c r="E92" i="78" s="1"/>
  <c r="C96" i="78"/>
  <c r="E96" i="78" s="1"/>
  <c r="C18" i="78"/>
  <c r="E18" i="78" s="1"/>
  <c r="C22" i="78"/>
  <c r="E22" i="78" s="1"/>
  <c r="C30" i="78"/>
  <c r="E30" i="78" s="1"/>
  <c r="C46" i="78"/>
  <c r="E46" i="78" s="1"/>
  <c r="C54" i="78"/>
  <c r="E54" i="78" s="1"/>
  <c r="C62" i="78"/>
  <c r="E62" i="78" s="1"/>
  <c r="C78" i="78"/>
  <c r="E78" i="78" s="1"/>
  <c r="C86" i="78"/>
  <c r="E86" i="78" s="1"/>
  <c r="C94" i="78"/>
  <c r="E94" i="78" s="1"/>
  <c r="G31" i="12"/>
  <c r="F82" i="12"/>
  <c r="F27" i="12"/>
  <c r="F35" i="12"/>
  <c r="F9" i="12"/>
  <c r="F70" i="12"/>
  <c r="F81" i="12"/>
  <c r="F85" i="12"/>
  <c r="I97" i="12"/>
  <c r="I53" i="12"/>
  <c r="I89" i="12"/>
  <c r="I96" i="12"/>
  <c r="I79" i="12"/>
  <c r="I48" i="12"/>
  <c r="I28" i="12"/>
  <c r="I20" i="12"/>
  <c r="I86" i="12"/>
  <c r="I51" i="12"/>
  <c r="I75" i="12"/>
  <c r="I93" i="12"/>
  <c r="I58" i="12"/>
  <c r="I39" i="12"/>
  <c r="I84" i="12"/>
  <c r="G16" i="12"/>
  <c r="G27" i="12"/>
  <c r="F79" i="12"/>
  <c r="F75" i="12"/>
  <c r="G94" i="12"/>
  <c r="G81" i="12"/>
  <c r="G78" i="12"/>
  <c r="F59" i="12"/>
  <c r="F45" i="12"/>
  <c r="F95" i="12"/>
  <c r="F12" i="12"/>
  <c r="F61" i="12"/>
  <c r="G48" i="12"/>
  <c r="G51" i="12"/>
  <c r="G52" i="12"/>
  <c r="G49" i="12"/>
  <c r="G43" i="12"/>
  <c r="G57" i="12"/>
  <c r="G29" i="12"/>
  <c r="G38" i="12"/>
  <c r="G91" i="12"/>
  <c r="G92" i="12"/>
  <c r="G86" i="12"/>
  <c r="G34" i="12"/>
  <c r="I71" i="12"/>
  <c r="I83" i="12"/>
  <c r="G68" i="12"/>
  <c r="G36" i="12"/>
  <c r="G89" i="12"/>
  <c r="G35" i="12"/>
  <c r="F98" i="12"/>
  <c r="F96" i="12"/>
  <c r="F86" i="12"/>
  <c r="F41" i="12"/>
  <c r="F16" i="12"/>
  <c r="F13" i="12"/>
  <c r="G98" i="12"/>
  <c r="G55" i="12"/>
  <c r="G41" i="12"/>
  <c r="G22" i="12"/>
  <c r="G11" i="12"/>
  <c r="F63" i="12"/>
  <c r="G28" i="12"/>
  <c r="G42" i="12"/>
  <c r="G32" i="12"/>
  <c r="F11" i="12"/>
  <c r="F8" i="12"/>
  <c r="I90" i="12"/>
  <c r="I26" i="12"/>
  <c r="I88" i="12"/>
  <c r="I44" i="12"/>
  <c r="I85" i="12"/>
  <c r="I64" i="12"/>
  <c r="I65" i="12"/>
  <c r="I82" i="12"/>
  <c r="I98" i="12"/>
  <c r="I77" i="12"/>
  <c r="I61" i="12"/>
  <c r="I59" i="12"/>
  <c r="I24" i="12"/>
  <c r="I30" i="12"/>
  <c r="I27" i="12"/>
  <c r="I22" i="12"/>
  <c r="I19" i="12"/>
  <c r="I13" i="12"/>
  <c r="I12" i="12"/>
  <c r="G13" i="12"/>
  <c r="G40" i="12"/>
  <c r="G45" i="12"/>
  <c r="G59" i="12"/>
  <c r="G79" i="12"/>
  <c r="G70" i="12"/>
  <c r="G66" i="12"/>
  <c r="G63" i="12"/>
  <c r="G60" i="12"/>
  <c r="G23" i="12"/>
  <c r="G18" i="12"/>
  <c r="G17" i="12"/>
  <c r="G56" i="12"/>
  <c r="G62" i="12"/>
  <c r="G53" i="12"/>
  <c r="G26" i="12"/>
  <c r="G20" i="12"/>
  <c r="G90" i="12"/>
  <c r="G15" i="12"/>
  <c r="G14" i="12"/>
  <c r="G67" i="12"/>
  <c r="G75" i="12"/>
  <c r="G72" i="12"/>
  <c r="G24" i="12"/>
  <c r="G88" i="12"/>
  <c r="G74" i="12"/>
  <c r="G71" i="12"/>
  <c r="G95" i="12"/>
  <c r="G83" i="12"/>
  <c r="G84" i="12"/>
  <c r="G47" i="12"/>
  <c r="G33" i="12"/>
  <c r="G9" i="12"/>
  <c r="G7" i="12"/>
  <c r="F30" i="12"/>
  <c r="F60" i="12"/>
  <c r="F50" i="12"/>
  <c r="F93" i="12"/>
  <c r="F21" i="12"/>
  <c r="F42" i="12"/>
  <c r="F51" i="12"/>
  <c r="F72" i="12"/>
  <c r="F17" i="12"/>
  <c r="F53" i="12"/>
  <c r="F77" i="12"/>
  <c r="F49" i="12"/>
  <c r="F38" i="12"/>
  <c r="F73" i="12"/>
  <c r="F91" i="12"/>
  <c r="F47" i="12"/>
  <c r="F15" i="12"/>
  <c r="F90" i="12"/>
  <c r="F14" i="12"/>
  <c r="F67" i="12"/>
  <c r="F44" i="12"/>
  <c r="F48" i="12"/>
  <c r="F65" i="12"/>
  <c r="F62" i="12"/>
  <c r="F97" i="12"/>
  <c r="F23" i="12"/>
  <c r="F29" i="12"/>
  <c r="F28" i="12"/>
  <c r="F55" i="12"/>
  <c r="F88" i="12"/>
  <c r="F80" i="12"/>
  <c r="F43" i="12"/>
  <c r="F39" i="12"/>
  <c r="F58" i="12"/>
  <c r="F40" i="12"/>
  <c r="F32" i="12"/>
  <c r="F84" i="12"/>
  <c r="F19" i="12"/>
  <c r="F68" i="12"/>
  <c r="F92" i="12"/>
  <c r="F89" i="12"/>
  <c r="F78" i="12"/>
  <c r="F56" i="12"/>
  <c r="F36" i="12"/>
  <c r="F33" i="12"/>
  <c r="F26" i="12"/>
  <c r="I15" i="12"/>
  <c r="I94" i="12"/>
  <c r="I17" i="12"/>
  <c r="I81" i="12"/>
  <c r="I34" i="12"/>
  <c r="I80" i="12"/>
  <c r="I9" i="12"/>
  <c r="I72" i="12"/>
  <c r="I63" i="12"/>
  <c r="I52" i="12"/>
  <c r="I50" i="12"/>
  <c r="I40" i="12"/>
  <c r="I11" i="12"/>
  <c r="I73" i="12"/>
  <c r="I67" i="12"/>
  <c r="I60" i="12"/>
  <c r="I70" i="12"/>
  <c r="I41" i="12"/>
  <c r="I14" i="12"/>
  <c r="I57" i="12"/>
  <c r="I21" i="12"/>
  <c r="I92" i="12"/>
  <c r="I78" i="12"/>
  <c r="I55" i="12"/>
  <c r="I49" i="12"/>
  <c r="I42" i="12"/>
  <c r="I68" i="12"/>
  <c r="G80" i="12"/>
  <c r="G8" i="12"/>
  <c r="I36" i="12"/>
  <c r="F64" i="12"/>
  <c r="F57" i="12"/>
  <c r="G85" i="12"/>
  <c r="G82" i="12"/>
  <c r="G44" i="12"/>
  <c r="G10" i="12"/>
  <c r="I18" i="12"/>
  <c r="I95" i="12"/>
  <c r="I74" i="12"/>
  <c r="F66" i="12"/>
  <c r="G77" i="12"/>
  <c r="G39" i="12"/>
  <c r="I66" i="12"/>
  <c r="F34" i="12"/>
  <c r="I62" i="12"/>
  <c r="I91" i="12"/>
  <c r="I8" i="12"/>
  <c r="I32" i="12"/>
  <c r="G93" i="12"/>
  <c r="G50" i="12"/>
  <c r="G19" i="12"/>
  <c r="G12" i="12"/>
  <c r="I16" i="12"/>
  <c r="I38" i="12"/>
  <c r="I31" i="12"/>
  <c r="F74" i="12"/>
  <c r="G73" i="12"/>
  <c r="I43" i="12"/>
  <c r="G96" i="12"/>
  <c r="G64" i="12"/>
  <c r="G61" i="12"/>
  <c r="G58" i="12"/>
  <c r="G30" i="12"/>
  <c r="G21" i="12"/>
  <c r="I23" i="12"/>
  <c r="I10" i="12"/>
  <c r="I56" i="12"/>
  <c r="I47" i="12"/>
  <c r="I33" i="12"/>
  <c r="I29" i="12"/>
  <c r="I7" i="12"/>
  <c r="F94" i="12"/>
  <c r="F83" i="12"/>
  <c r="F24" i="12"/>
  <c r="F20" i="12"/>
  <c r="G97" i="12"/>
  <c r="G65" i="12"/>
  <c r="H24" i="12" l="1"/>
  <c r="D24" i="12" s="1"/>
  <c r="B24" i="12" s="1"/>
  <c r="H45" i="12"/>
  <c r="D45" i="12" s="1"/>
  <c r="B45" i="12" s="1"/>
  <c r="H35" i="12"/>
  <c r="D35" i="12" s="1"/>
  <c r="B35" i="12" s="1"/>
  <c r="H59" i="12"/>
  <c r="D59" i="12" s="1"/>
  <c r="B59" i="12" s="1"/>
  <c r="H81" i="12"/>
  <c r="D81" i="12" s="1"/>
  <c r="B81" i="12" s="1"/>
  <c r="H20" i="12"/>
  <c r="D20" i="12" s="1"/>
  <c r="B20" i="12" s="1"/>
  <c r="H73" i="12"/>
  <c r="D73" i="12" s="1"/>
  <c r="B73" i="12" s="1"/>
  <c r="H15" i="12"/>
  <c r="D15" i="12" s="1"/>
  <c r="B15" i="12" s="1"/>
  <c r="H21" i="12"/>
  <c r="D21" i="12" s="1"/>
  <c r="B21" i="12" s="1"/>
  <c r="H62" i="12"/>
  <c r="D62" i="12" s="1"/>
  <c r="B62" i="12" s="1"/>
  <c r="H26" i="12"/>
  <c r="D26" i="12" s="1"/>
  <c r="B26" i="12" s="1"/>
  <c r="H98" i="12"/>
  <c r="D98" i="12" s="1"/>
  <c r="B98" i="12" s="1"/>
  <c r="H68" i="12"/>
  <c r="D68" i="12" s="1"/>
  <c r="B68" i="12" s="1"/>
  <c r="H13" i="12"/>
  <c r="D13" i="12" s="1"/>
  <c r="B13" i="12" s="1"/>
  <c r="H86" i="12"/>
  <c r="D86" i="12" s="1"/>
  <c r="B86" i="12" s="1"/>
  <c r="H85" i="12"/>
  <c r="D85" i="12" s="1"/>
  <c r="B85" i="12" s="1"/>
  <c r="H41" i="12"/>
  <c r="D41" i="12" s="1"/>
  <c r="B41" i="12" s="1"/>
  <c r="H33" i="12"/>
  <c r="D33" i="12" s="1"/>
  <c r="B33" i="12" s="1"/>
  <c r="H12" i="12"/>
  <c r="D12" i="12" s="1"/>
  <c r="B12" i="12" s="1"/>
  <c r="H30" i="12"/>
  <c r="D30" i="12" s="1"/>
  <c r="B30" i="12" s="1"/>
  <c r="H53" i="12"/>
  <c r="D53" i="12" s="1"/>
  <c r="B53" i="12" s="1"/>
  <c r="H71" i="12"/>
  <c r="D71" i="12" s="1"/>
  <c r="B71" i="12" s="1"/>
  <c r="H29" i="12"/>
  <c r="D29" i="12" s="1"/>
  <c r="B29" i="12" s="1"/>
  <c r="H32" i="12"/>
  <c r="D32" i="12" s="1"/>
  <c r="B32" i="12" s="1"/>
  <c r="H60" i="12"/>
  <c r="D60" i="12" s="1"/>
  <c r="B60" i="12" s="1"/>
  <c r="H48" i="12"/>
  <c r="D48" i="12" s="1"/>
  <c r="B48" i="12" s="1"/>
  <c r="H97" i="12"/>
  <c r="D97" i="12" s="1"/>
  <c r="B97" i="12" s="1"/>
  <c r="H94" i="12"/>
  <c r="D94" i="12" s="1"/>
  <c r="B94" i="12" s="1"/>
  <c r="H65" i="12"/>
  <c r="D65" i="12" s="1"/>
  <c r="B65" i="12" s="1"/>
  <c r="H28" i="12"/>
  <c r="D28" i="12" s="1"/>
  <c r="B28" i="12" s="1"/>
  <c r="H17" i="12"/>
  <c r="D17" i="12" s="1"/>
  <c r="B17" i="12" s="1"/>
  <c r="H78" i="12"/>
  <c r="D78" i="12" s="1"/>
  <c r="B78" i="12" s="1"/>
  <c r="H22" i="12"/>
  <c r="D22" i="12" s="1"/>
  <c r="B22" i="12" s="1"/>
  <c r="H61" i="12"/>
  <c r="D61" i="12" s="1"/>
  <c r="B61" i="12" s="1"/>
  <c r="H19" i="12"/>
  <c r="D19" i="12" s="1"/>
  <c r="B19" i="12" s="1"/>
  <c r="H58" i="12"/>
  <c r="D58" i="12" s="1"/>
  <c r="B58" i="12" s="1"/>
  <c r="H93" i="12"/>
  <c r="D93" i="12" s="1"/>
  <c r="B93" i="12" s="1"/>
  <c r="H55" i="12"/>
  <c r="D55" i="12" s="1"/>
  <c r="B55" i="12" s="1"/>
  <c r="H90" i="12"/>
  <c r="D90" i="12" s="1"/>
  <c r="B90" i="12" s="1"/>
  <c r="H39" i="12"/>
  <c r="D39" i="12" s="1"/>
  <c r="B39" i="12" s="1"/>
  <c r="H42" i="12"/>
  <c r="D42" i="12" s="1"/>
  <c r="B42" i="12" s="1"/>
  <c r="H8" i="12"/>
  <c r="D8" i="12" s="1"/>
  <c r="B8" i="12" s="1"/>
  <c r="H27" i="12"/>
  <c r="D27" i="12" s="1"/>
  <c r="B27" i="12" s="1"/>
  <c r="H47" i="12"/>
  <c r="D47" i="12" s="1"/>
  <c r="B47" i="12" s="1"/>
  <c r="H64" i="12"/>
  <c r="D64" i="12" s="1"/>
  <c r="B64" i="12" s="1"/>
  <c r="H82" i="12"/>
  <c r="D82" i="12" s="1"/>
  <c r="B82" i="12" s="1"/>
  <c r="H10" i="12"/>
  <c r="D10" i="12" s="1"/>
  <c r="B10" i="12" s="1"/>
  <c r="H83" i="12"/>
  <c r="D83" i="12" s="1"/>
  <c r="B83" i="12" s="1"/>
  <c r="H7" i="12"/>
  <c r="H23" i="12"/>
  <c r="D23" i="12" s="1"/>
  <c r="B23" i="12" s="1"/>
  <c r="H43" i="12"/>
  <c r="D43" i="12" s="1"/>
  <c r="B43" i="12" s="1"/>
  <c r="H80" i="12"/>
  <c r="D80" i="12" s="1"/>
  <c r="B80" i="12" s="1"/>
  <c r="H40" i="12"/>
  <c r="D40" i="12" s="1"/>
  <c r="B40" i="12" s="1"/>
  <c r="H77" i="12"/>
  <c r="D77" i="12" s="1"/>
  <c r="B77" i="12" s="1"/>
  <c r="H95" i="12"/>
  <c r="D95" i="12" s="1"/>
  <c r="B95" i="12" s="1"/>
  <c r="H79" i="12"/>
  <c r="D79" i="12" s="1"/>
  <c r="B79" i="12" s="1"/>
  <c r="H96" i="12"/>
  <c r="D96" i="12" s="1"/>
  <c r="B96" i="12" s="1"/>
  <c r="H75" i="12"/>
  <c r="D75" i="12" s="1"/>
  <c r="B75" i="12" s="1"/>
  <c r="H16" i="12"/>
  <c r="D16" i="12" s="1"/>
  <c r="B16" i="12" s="1"/>
  <c r="H34" i="12"/>
  <c r="D34" i="12" s="1"/>
  <c r="B34" i="12" s="1"/>
  <c r="H72" i="12"/>
  <c r="D72" i="12" s="1"/>
  <c r="B72" i="12" s="1"/>
  <c r="H36" i="12"/>
  <c r="D36" i="12" s="1"/>
  <c r="B36" i="12" s="1"/>
  <c r="H31" i="12"/>
  <c r="D31" i="12" s="1"/>
  <c r="B31" i="12" s="1"/>
  <c r="H51" i="12"/>
  <c r="D51" i="12" s="1"/>
  <c r="B51" i="12" s="1"/>
  <c r="H14" i="12"/>
  <c r="D14" i="12" s="1"/>
  <c r="B14" i="12" s="1"/>
  <c r="H52" i="12"/>
  <c r="D52" i="12" s="1"/>
  <c r="B52" i="12" s="1"/>
  <c r="H70" i="12"/>
  <c r="D70" i="12" s="1"/>
  <c r="B70" i="12" s="1"/>
  <c r="H88" i="12"/>
  <c r="D88" i="12" s="1"/>
  <c r="B88" i="12" s="1"/>
  <c r="H11" i="12"/>
  <c r="D11" i="12" s="1"/>
  <c r="B11" i="12" s="1"/>
  <c r="H49" i="12"/>
  <c r="D49" i="12" s="1"/>
  <c r="B49" i="12" s="1"/>
  <c r="H66" i="12"/>
  <c r="D66" i="12" s="1"/>
  <c r="B66" i="12" s="1"/>
  <c r="H84" i="12"/>
  <c r="D84" i="12" s="1"/>
  <c r="B84" i="12" s="1"/>
  <c r="H9" i="12"/>
  <c r="D9" i="12" s="1"/>
  <c r="B9" i="12" s="1"/>
  <c r="H44" i="12"/>
  <c r="D44" i="12" s="1"/>
  <c r="B44" i="12" s="1"/>
  <c r="H63" i="12"/>
  <c r="D63" i="12" s="1"/>
  <c r="B63" i="12" s="1"/>
  <c r="H56" i="12"/>
  <c r="D56" i="12" s="1"/>
  <c r="B56" i="12" s="1"/>
  <c r="H91" i="12"/>
  <c r="D91" i="12" s="1"/>
  <c r="B91" i="12" s="1"/>
  <c r="H18" i="12"/>
  <c r="D18" i="12" s="1"/>
  <c r="B18" i="12" s="1"/>
  <c r="H38" i="12"/>
  <c r="D38" i="12" s="1"/>
  <c r="B38" i="12" s="1"/>
  <c r="H57" i="12"/>
  <c r="D57" i="12" s="1"/>
  <c r="B57" i="12" s="1"/>
  <c r="H74" i="12"/>
  <c r="D74" i="12" s="1"/>
  <c r="B74" i="12" s="1"/>
  <c r="H92" i="12"/>
  <c r="D92" i="12" s="1"/>
  <c r="B92" i="12" s="1"/>
  <c r="H89" i="12"/>
  <c r="D89" i="12" s="1"/>
  <c r="B89" i="12" s="1"/>
  <c r="H50" i="12"/>
  <c r="D50" i="12" s="1"/>
  <c r="B50" i="12" s="1"/>
  <c r="H67" i="12"/>
  <c r="D67" i="12" s="1"/>
  <c r="B67" i="12" s="1"/>
  <c r="D7" i="12" l="1"/>
  <c r="B7" i="12" s="1"/>
</calcChain>
</file>

<file path=xl/sharedStrings.xml><?xml version="1.0" encoding="utf-8"?>
<sst xmlns="http://schemas.openxmlformats.org/spreadsheetml/2006/main" count="4108" uniqueCount="673">
  <si>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</si>
  <si>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</si>
  <si>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</si>
  <si>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</si>
  <si>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</si>
  <si>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</si>
  <si>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</si>
  <si>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</si>
  <si>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</si>
  <si>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</si>
  <si>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</si>
  <si>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</si>
  <si>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</si>
  <si>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</si>
  <si>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</si>
  <si>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</si>
  <si>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</si>
  <si>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</si>
  <si>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</si>
  <si>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</si>
  <si>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</si>
  <si>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</si>
  <si>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</si>
  <si>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</si>
  <si>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</si>
  <si>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</si>
  <si>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</si>
  <si>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</si>
  <si>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</si>
  <si>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</si>
  <si>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</si>
  <si>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</si>
  <si>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</si>
  <si>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</si>
  <si>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</si>
  <si>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</si>
  <si>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</si>
  <si>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</si>
  <si>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</si>
  <si>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</si>
  <si>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</si>
  <si>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</si>
  <si>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</si>
  <si>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</si>
  <si>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</si>
  <si>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</si>
  <si>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</si>
  <si>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</si>
  <si>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</si>
  <si>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</si>
  <si>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</si>
  <si>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</si>
  <si>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</si>
  <si>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</si>
  <si>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</si>
  <si>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</si>
  <si>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</si>
  <si>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</si>
  <si>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</si>
  <si>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</si>
  <si>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</si>
  <si>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</si>
  <si>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</si>
  <si>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</si>
  <si>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</si>
  <si>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</si>
  <si>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</si>
  <si>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</si>
  <si>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</si>
  <si>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</si>
  <si>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</si>
  <si>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</si>
  <si>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</si>
  <si>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</si>
  <si>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</si>
  <si>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</si>
  <si>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</si>
  <si>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</si>
  <si>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</si>
  <si>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</si>
  <si>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</si>
  <si>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</si>
  <si>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</si>
  <si>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</si>
  <si>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Вопросы и варианты ответов</t>
  </si>
  <si>
    <t>Баллы</t>
  </si>
  <si>
    <t>Понижающие коэффициенты</t>
  </si>
  <si>
    <t>Республика Крым</t>
  </si>
  <si>
    <t>Итого</t>
  </si>
  <si>
    <t>баллы</t>
  </si>
  <si>
    <t>К1</t>
  </si>
  <si>
    <t>Нет, не содержится или не отвечает требованиям</t>
  </si>
  <si>
    <t>Да, содержится</t>
  </si>
  <si>
    <t>1.1</t>
  </si>
  <si>
    <t>1.2</t>
  </si>
  <si>
    <t>1.3</t>
  </si>
  <si>
    <t>1.4</t>
  </si>
  <si>
    <t>1.5</t>
  </si>
  <si>
    <t>Оценка показателя 1.2</t>
  </si>
  <si>
    <t>Оценка показателя 1.3</t>
  </si>
  <si>
    <t>Оценка показателя 1.4</t>
  </si>
  <si>
    <t xml:space="preserve">Нет, не содержится </t>
  </si>
  <si>
    <t>Итого по разделу 1</t>
  </si>
  <si>
    <t>Максимальное количество баллов</t>
  </si>
  <si>
    <t>%</t>
  </si>
  <si>
    <t>% от максимального количества баллов по разделу 1</t>
  </si>
  <si>
    <t xml:space="preserve">№ п/п </t>
  </si>
  <si>
    <t>К2</t>
  </si>
  <si>
    <t xml:space="preserve">Да, размещен </t>
  </si>
  <si>
    <t>Нет, в установленные сроки не размещен</t>
  </si>
  <si>
    <t>Номер закона</t>
  </si>
  <si>
    <t>-</t>
  </si>
  <si>
    <t>Оценка показателя 1.1</t>
  </si>
  <si>
    <t>Дата подписания закона</t>
  </si>
  <si>
    <t>Дополнительный комментарий к оценке показателя и применению понижающих коэффициентов</t>
  </si>
  <si>
    <t>Ссылка на источник данных</t>
  </si>
  <si>
    <t>Сайт финоргана или страница, где публикуются бюджетные данные, на сайте исполнительных органов власти</t>
  </si>
  <si>
    <t>Специализированный портал для публикации бюджетных данных</t>
  </si>
  <si>
    <t>Детализация по безвозмездным поступлениям</t>
  </si>
  <si>
    <t>Оценка показателя 1.5</t>
  </si>
  <si>
    <t>нет данных</t>
  </si>
  <si>
    <t>Да</t>
  </si>
  <si>
    <t>Нет</t>
  </si>
  <si>
    <t>http://dtf.avo.ru/zakony-vladimirskoj-oblasti</t>
  </si>
  <si>
    <t>http://budget.mosreg.ru/byudzhet-dlya-grazhdan/zakon-o-byudzhete-mo/</t>
  </si>
  <si>
    <t>http://dfei.adm-nao.ru/zakony-o-byudzhete/</t>
  </si>
  <si>
    <t>http://minfin.kalmregion.ru/deyatelnost/byudzhet-respubliki-kalmykiya/</t>
  </si>
  <si>
    <t>http://mf.nnov.ru/index.php?option=com_k2&amp;view=item&amp;id=1509:zakony-ob-oblastnom-byudzhete-na-ocherednoj-finansovyj-god-i-na-planovyj-period&amp;Itemid=553</t>
  </si>
  <si>
    <t>http://finance.pnzreg.ru/docs/bpo/osnzakon.php</t>
  </si>
  <si>
    <t xml:space="preserve">Дата подписания закона </t>
  </si>
  <si>
    <t>Комментарий</t>
  </si>
  <si>
    <t>для общего объема субсидий</t>
  </si>
  <si>
    <t>для распределенных субсидий</t>
  </si>
  <si>
    <t>Детализация по налоговым и неналоговым доходам</t>
  </si>
  <si>
    <t>Номер приложения</t>
  </si>
  <si>
    <t xml:space="preserve">Комментарий </t>
  </si>
  <si>
    <t>Номер статьи</t>
  </si>
  <si>
    <t>В случае размещения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</si>
  <si>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РАЗДЕЛ 1.    ПЕРВОНАЧАЛЬНО УТВЕРЖДЕННЫЙ БЮДЖЕТ</t>
  </si>
  <si>
    <t>https://dvinaland.ru/budget/zakon/</t>
  </si>
  <si>
    <t>https://minfin39.ru/budget/process/current/</t>
  </si>
  <si>
    <t>http://minfin.krskstate.ru/openbudget/law</t>
  </si>
  <si>
    <t>1, 2</t>
  </si>
  <si>
    <t>3, 4</t>
  </si>
  <si>
    <t>5, 6</t>
  </si>
  <si>
    <t>6, 7</t>
  </si>
  <si>
    <t>1-4</t>
  </si>
  <si>
    <t>4, 5</t>
  </si>
  <si>
    <t>1, 3</t>
  </si>
  <si>
    <t>10, 11</t>
  </si>
  <si>
    <t>9, 10</t>
  </si>
  <si>
    <t>8, 9</t>
  </si>
  <si>
    <t>7, 8</t>
  </si>
  <si>
    <t>12, 13</t>
  </si>
  <si>
    <t>Детализация бюджетных ассигнований</t>
  </si>
  <si>
    <t>Раздел</t>
  </si>
  <si>
    <t>Подраздел</t>
  </si>
  <si>
    <t>6 (таблицы 1.1, 1.2)</t>
  </si>
  <si>
    <t>11, 12</t>
  </si>
  <si>
    <t>14, 15</t>
  </si>
  <si>
    <t>нет</t>
  </si>
  <si>
    <t>http://minfinrd.ru/svedeniya_ob_ispolzovanii_vydelyaemykh_byudzhetnykh_sredstv</t>
  </si>
  <si>
    <t xml:space="preserve">Дата размещения закона </t>
  </si>
  <si>
    <t>1, 1а</t>
  </si>
  <si>
    <t>9, 9а</t>
  </si>
  <si>
    <t xml:space="preserve">К1   </t>
  </si>
  <si>
    <t>поиск не проводился</t>
  </si>
  <si>
    <t>http://ufin48.ru/Show/Tag/Бюджет</t>
  </si>
  <si>
    <t>портал не работает</t>
  </si>
  <si>
    <t>https://minfin.tularegion.ru/documents/?SECTION=1579</t>
  </si>
  <si>
    <t>https://www.yarregion.ru/depts/depfin/tmpPages/docs.aspx</t>
  </si>
  <si>
    <t>https://minfin.gov-murman.ru/open-budget/regional_budget/law_of_budget/</t>
  </si>
  <si>
    <t>http://www.mfsk.ru/law/z_sk</t>
  </si>
  <si>
    <t>переадресация на СП: http://ufo.ulntc.ru/index.php?mgf=budget/open_budget&amp;slep=net</t>
  </si>
  <si>
    <t>https://minfin.midural.ru/document/category/20%20-%20document_list#document_list</t>
  </si>
  <si>
    <t>http://mfnso.nso.ru/page/3777</t>
  </si>
  <si>
    <t>https://primorsky.ru/authorities/executive-agencies/departments/finance/laws.php</t>
  </si>
  <si>
    <t>переадресация на СП: https://www.fin.amurobl.ru/pages/normativno-pravovye-akty/regionalnyy-uroven/zakony-ao/</t>
  </si>
  <si>
    <t>переадресация на СП: http://sakhminfin.ru/</t>
  </si>
  <si>
    <t>https://fincom.gov.spb.ru/budget/info/acts/1</t>
  </si>
  <si>
    <t>K1</t>
  </si>
  <si>
    <t>нет портала</t>
  </si>
  <si>
    <t>Дата подписания</t>
  </si>
  <si>
    <t>Доля субсидий, распределенных по муниципальным образованиям законом о бюджете, %</t>
  </si>
  <si>
    <t xml:space="preserve">Способ получения сведений об общем объеме субсидий местным бюджетам </t>
  </si>
  <si>
    <t>Объем субсидий, распределенных по муниципальным образованиям законом о бюджете, тыс. рублей **</t>
  </si>
  <si>
    <t>да</t>
  </si>
  <si>
    <t>- *</t>
  </si>
  <si>
    <t>* Для городов федерального значения в соответствии с Методикой составления рейтинга оценка показателя не осуществляется, производится корректировка максимального количества баллов.</t>
  </si>
  <si>
    <t>Нет сведений о налоговых и неналоговых доходах.</t>
  </si>
  <si>
    <t>Нет детализации налоговых и неналоговых доходов.</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</si>
  <si>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</si>
  <si>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</si>
  <si>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</si>
  <si>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</si>
  <si>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Полнота сведений (все составляющие, включая приложения)</t>
  </si>
  <si>
    <t>Используется не только графический формат</t>
  </si>
  <si>
    <t>Наличие структуры документа</t>
  </si>
  <si>
    <t>Наличие наименований составляющих</t>
  </si>
  <si>
    <t xml:space="preserve">не размещено: http://mef.mosreg.ru </t>
  </si>
  <si>
    <t>https://orel-region.ru/index.php?head=20&amp;part=25&amp;in=131</t>
  </si>
  <si>
    <t>https://minfin.ryazangov.ru/documents/documents_RO/zakony-ob-oblastnom-byudzhete-ryazanskoy-oblasti/index.php</t>
  </si>
  <si>
    <t xml:space="preserve">не размещено: http://www.tverfin.ru/np-baza/regionalnye-normativnye-pravovye-akty/ </t>
  </si>
  <si>
    <t xml:space="preserve">не размещено: https://www.mos.ru/findep/ </t>
  </si>
  <si>
    <t>не размещено: http://bks.pskov.ru/ebudget/Show/Category/10?ItemId=257</t>
  </si>
  <si>
    <t>переадресация на СП: http://saratov.gov.ru/gov/auth/minfin/</t>
  </si>
  <si>
    <t>https://irkobl.ru/sites/minfin/activity/obl/</t>
  </si>
  <si>
    <t>не размещено: https://minfin.49gov.ru/documents/</t>
  </si>
  <si>
    <t>ст. 13</t>
  </si>
  <si>
    <t>https://budget.mos.ru/budget</t>
  </si>
  <si>
    <t>https://minfin.kbr.ru/activity/byudzhet/</t>
  </si>
  <si>
    <t>4-7</t>
  </si>
  <si>
    <t>Нет, не содержатся или не отвечают требованиям</t>
  </si>
  <si>
    <t>В целях оценки показателя учитываются обособленно представленные сведения о межбюджетных трансфертах, предоставляемых местным бюджетам, а также федеральному бюджету, бюджетам других субъектов Российской Федерации, бюджетам государственных внебюджетных фондов (если такие межбюджетные трансферты предусмотрены законом о бюджете).</t>
  </si>
  <si>
    <t>1, 12</t>
  </si>
  <si>
    <t>12</t>
  </si>
  <si>
    <t>6</t>
  </si>
  <si>
    <t>11</t>
  </si>
  <si>
    <t>13</t>
  </si>
  <si>
    <t>8, 10</t>
  </si>
  <si>
    <t>4, 7</t>
  </si>
  <si>
    <t>15</t>
  </si>
  <si>
    <t>г. Севастополь</t>
  </si>
  <si>
    <t>Сведения представлены в полном объеме или в части местных бюджетов</t>
  </si>
  <si>
    <t>дотации</t>
  </si>
  <si>
    <t>субсидии</t>
  </si>
  <si>
    <t>субвенции</t>
  </si>
  <si>
    <t>иные МБТ</t>
  </si>
  <si>
    <t>Объем межбюджетных трансфертов федеральному бюджету</t>
  </si>
  <si>
    <t>в том числе:</t>
  </si>
  <si>
    <t>Разница между графами S и R</t>
  </si>
  <si>
    <t>Объем межбюджетных трансфертов бюджету территориального фонда обязательного медицинского страхования</t>
  </si>
  <si>
    <t>Да, в части местных бюджетов</t>
  </si>
  <si>
    <t>Соблюдается последовательность представления данных по формам межбюджетных трансфертов</t>
  </si>
  <si>
    <t>Нет данных</t>
  </si>
  <si>
    <t>Расчет по ВР 520</t>
  </si>
  <si>
    <t>Указано в законе</t>
  </si>
  <si>
    <t>Примечания.</t>
  </si>
  <si>
    <t>Проверочный расчет достоверности данных</t>
  </si>
  <si>
    <t>Да, в полном объеме</t>
  </si>
  <si>
    <t>Закон размещен в полном объеме в установленные сроки надлежащей практики</t>
  </si>
  <si>
    <t>не размещено: http://depfin.orel-region.ru:8096/ebudget/Menu/Page/36</t>
  </si>
  <si>
    <t>нет (нарушен срок надлежащей практики)</t>
  </si>
  <si>
    <t>Используется только графический формат (К2).</t>
  </si>
  <si>
    <t>Отсутствуют наименования, отражающие содержание приложений (К2).</t>
  </si>
  <si>
    <t>https://www.eao.ru/isp-vlast/departament-finansov-pravitelstva-evreyskoy-avtonomnoy-oblasti/byudzhet/</t>
  </si>
  <si>
    <t>Детализации налоговых и неналоговых доходов недостаточно для оценки показателя.</t>
  </si>
  <si>
    <t>Объем межбюджетных трансфертов федеральной территории "Сириус"</t>
  </si>
  <si>
    <t>17, 18</t>
  </si>
  <si>
    <t>Нет (недостоверные данные)</t>
  </si>
  <si>
    <t>Представлены в полном объеме сведения об объемах межбюджетных трансфертов местным бюджетам</t>
  </si>
  <si>
    <t>Не предусмотрены</t>
  </si>
  <si>
    <t>Сведения не представлены.</t>
  </si>
  <si>
    <t>13, 14</t>
  </si>
  <si>
    <t>Не соблюдается последовательность представления данных по формам межбюджетных трансфертов в приложении 19 (К1).</t>
  </si>
  <si>
    <t>Не соблюдается последовательность представления сведений по формам межбюджетных трансфертов в приложении 26 (К1).</t>
  </si>
  <si>
    <t>Распределено менее 50% субсидий.</t>
  </si>
  <si>
    <t>прил. 16</t>
  </si>
  <si>
    <t>ст. 5</t>
  </si>
  <si>
    <t>ст. 7</t>
  </si>
  <si>
    <t>ст. 14</t>
  </si>
  <si>
    <t>прил. 15</t>
  </si>
  <si>
    <t>ст. 9</t>
  </si>
  <si>
    <t>ст. 11</t>
  </si>
  <si>
    <t>прил. 8</t>
  </si>
  <si>
    <t>ст. 6</t>
  </si>
  <si>
    <t>ст. 12</t>
  </si>
  <si>
    <t>прил. 13</t>
  </si>
  <si>
    <t>ст. 17</t>
  </si>
  <si>
    <t>прил. 11</t>
  </si>
  <si>
    <t>прил. 10 (табл. 2.1-2.54)</t>
  </si>
  <si>
    <t>прил. 19 (табл. 6-19)</t>
  </si>
  <si>
    <t>прил. 14</t>
  </si>
  <si>
    <t>ст. 3</t>
  </si>
  <si>
    <t>прил. 12</t>
  </si>
  <si>
    <t>ст. 8</t>
  </si>
  <si>
    <t>ст. 15</t>
  </si>
  <si>
    <t>прил. 17</t>
  </si>
  <si>
    <t>прил. 21</t>
  </si>
  <si>
    <t>прил. 10</t>
  </si>
  <si>
    <t>прил. 12.1</t>
  </si>
  <si>
    <t>прил. 25</t>
  </si>
  <si>
    <t>прил. 23</t>
  </si>
  <si>
    <t>прил. 18</t>
  </si>
  <si>
    <t>прил. 34</t>
  </si>
  <si>
    <t>прил. 5</t>
  </si>
  <si>
    <t>ст. 2</t>
  </si>
  <si>
    <t>прил. 28</t>
  </si>
  <si>
    <t>прил. 14, 15</t>
  </si>
  <si>
    <t>прил. 12-30</t>
  </si>
  <si>
    <t>Для определения общего объема субсидий произведен расчет по ведомственной структуре расходов с использованием ВР 520 (К1).</t>
  </si>
  <si>
    <t>Сведения о распределении субсидий по муниципальным образованиям в законе отсутствуют.</t>
  </si>
  <si>
    <t>Оценка не осуществляется, производится корректировка максимального количества баллов</t>
  </si>
  <si>
    <t>10</t>
  </si>
  <si>
    <t>https://www.govvrn.ru/npafin?p_p_id=Foldersanddocuments_WAR_foldersanddocumentsportlet&amp;p_p_lifecycle=0&amp;p_p_state=normal&amp;p_p_mode=view&amp;folderId=11117725</t>
  </si>
  <si>
    <t>https://minfin.admoblkaluga.ru/page/2023-2025_budget/</t>
  </si>
  <si>
    <t>https://depfin.kostroma.gov.ru/byudzhet/zakony-o-byudzhete/</t>
  </si>
  <si>
    <t>Размещен после срока надлежащей практики, дата размещения указана на сайте.</t>
  </si>
  <si>
    <t>https://fin.smolensk.ru/open/ob/g2023/</t>
  </si>
  <si>
    <t>https://minfin.rkomi.ru/deyatelnost/byudjet/zakony-respubliki-komi-proekty-zakonov-o-respublikanskom-byudjete-respubliki-komi-i-vnesenii-izmeneniy-v-nego/byudjet-na-2023-2025-gody</t>
  </si>
  <si>
    <t>https://df.gov35.ru/otkrytyy-byudzhet/zakony-ob-oblastnom-byudzhete/2023/index.php?ELEMENT_ID=15862</t>
  </si>
  <si>
    <t>https://minfin01-maykop.ru/Show/Content/3561?ParentItemId=55</t>
  </si>
  <si>
    <t>https://minfin.rk.gov.ru/ru/structure/2022_12_16_20_01_zakon_respubliki_krym_o_biudzhete_respubliki_krym_na_2023_god_i_na_planovyi_period_2024_i_2025_godov_ot_15_12_2022_355_zrk_2022</t>
  </si>
  <si>
    <t>https://minfin.astrobl.ru/napravleniya-deyatelnosti/zakony-o-biudzete-astraxanskoi-oblasti</t>
  </si>
  <si>
    <t>https://volgafin.volgograd.ru/norms/acts/17873/</t>
  </si>
  <si>
    <t>https://minfin.donland.ru/documents/active/196032/</t>
  </si>
  <si>
    <t>https://ob.sev.gov.ru/dokumenty/zakon-o-byudzhete/2023-i-planovyj-period-2024-2025-gg</t>
  </si>
  <si>
    <t>http://minfin.alania.gov.ru/pages/856</t>
  </si>
  <si>
    <t>https://minfin.bashkortostan.ru/documents/active/461819/</t>
  </si>
  <si>
    <t>https://minfin.tatarstan.ru/byudzhet-2023.htm?pub_id=3492276</t>
  </si>
  <si>
    <t>https://minfin.cap.ru/action/activity/byudzhet/respublikanskij-byudzhet-chuvashskoj-respubliki/2023-god/zakon-chuvashskoj-respubliki-ot-25-noyabrya-2021-g</t>
  </si>
  <si>
    <t>https://budget.cap.ru/Show/Category/326?ItemId=1057</t>
  </si>
  <si>
    <t>https://mfin.permkrai.ru/dokumenty/277348/</t>
  </si>
  <si>
    <t>https://budget.permkrai.ru/budget/indicators2023</t>
  </si>
  <si>
    <t>https://minfin-samara.ru/2023-2025/</t>
  </si>
  <si>
    <t>http://ufo.ulntc.ru:8080/dokumenty/utverzhdennyj-zakon-o-byudzhete/2023-god</t>
  </si>
  <si>
    <t>https://minfin.saratov.gov.ru/budget/zakon-o-byudzhete/zakon-ob-oblastnom-byudzhete/zakon-ob-oblastnom-byudzhete-2023-2025-g</t>
  </si>
  <si>
    <t>http://www.finupr.kurganobl.ru/index.php?test=bud23</t>
  </si>
  <si>
    <t>https://depfin.admhmao.ru/otkrytyy-byudzhet/planirovanie-byudzheta/zakony-o-byudzhete-avtonomnogo-okruga/na-2023-god-i-na-planovyy-period-2024-i-2025-godov/8165215/zakon-khanty-mansiyskogo-avtonomnogo-okruga-yugry-ot-24-11-2022-goda-132-oz-o-byudzhete-khanty-mansi/</t>
  </si>
  <si>
    <t>https://www.minfin-altai.ru/deyatelnost/proekt-byudzheta-zakony-o-byudzhete-zakony-ob-ispolnenii-byudzheta/2023-2025/zakon-o-byudzhete/</t>
  </si>
  <si>
    <t>https://r-19.ru/authorities/ministry-of-finance-of-the-republic-of-khakassia/docs/9037/139874.html</t>
  </si>
  <si>
    <t>https://minfin.alregn.ru/bud/z2023/</t>
  </si>
  <si>
    <t>https://depfin.tomsk.gov.ru/documents/front/view/id/84619</t>
  </si>
  <si>
    <t>https://egov-buryatia.ru/minfin/activities/directions/respublikanskiy-byudzhet/2023-2025-gg/zakony-o-byudzhete.php</t>
  </si>
  <si>
    <t>https://www.kamgov.ru/minfin/budzet-2023</t>
  </si>
  <si>
    <t>http://ob.fin.amurobl.ru/dokumenty/zakon/pervon_redakcia/2023</t>
  </si>
  <si>
    <t>https://openbudget.sakhminfin.ru/Menu/Page/611</t>
  </si>
  <si>
    <t>220/2022-ОЗ</t>
  </si>
  <si>
    <t>100-З</t>
  </si>
  <si>
    <t>129-ОЗ</t>
  </si>
  <si>
    <t>76-ОЗ</t>
  </si>
  <si>
    <t>6-9</t>
  </si>
  <si>
    <t>301-ОЗ</t>
  </si>
  <si>
    <t>297-7-ЗКО</t>
  </si>
  <si>
    <t>145-ЗКО</t>
  </si>
  <si>
    <t>243-ОЗ</t>
  </si>
  <si>
    <t>2838-ОЗ</t>
  </si>
  <si>
    <t>94-ОЗ</t>
  </si>
  <si>
    <t>159-з</t>
  </si>
  <si>
    <t>111-ЗО</t>
  </si>
  <si>
    <t>206-З</t>
  </si>
  <si>
    <t>138-ЗТО</t>
  </si>
  <si>
    <t>76-з</t>
  </si>
  <si>
    <t>151-оз</t>
  </si>
  <si>
    <t>666-104</t>
  </si>
  <si>
    <t>2776-ЗРК</t>
  </si>
  <si>
    <t>104-РЗ</t>
  </si>
  <si>
    <t>655-40-ОЗ</t>
  </si>
  <si>
    <t>5283-ОЗ</t>
  </si>
  <si>
    <t>2845-01-ЗМО</t>
  </si>
  <si>
    <t>3, 3.1</t>
  </si>
  <si>
    <t>4, 4.1</t>
  </si>
  <si>
    <t>251-ОЗ</t>
  </si>
  <si>
    <t>2318-ОЗ</t>
  </si>
  <si>
    <t>372-ОЗ</t>
  </si>
  <si>
    <t>263-VI-З</t>
  </si>
  <si>
    <t>355-ЗРК/2022</t>
  </si>
  <si>
    <t>728-ЗС</t>
  </si>
  <si>
    <t>4825-КЗ</t>
  </si>
  <si>
    <t>93/2022-ОЗ</t>
  </si>
  <si>
    <t>122-ОД</t>
  </si>
  <si>
    <t>795-ЗС</t>
  </si>
  <si>
    <t>71-РЗ</t>
  </si>
  <si>
    <t>63-РЗ</t>
  </si>
  <si>
    <t>98-РЗ</t>
  </si>
  <si>
    <t>88-РЗ</t>
  </si>
  <si>
    <t>75-РЗ</t>
  </si>
  <si>
    <t>110-кз</t>
  </si>
  <si>
    <t>651-з</t>
  </si>
  <si>
    <t xml:space="preserve">46-З </t>
  </si>
  <si>
    <t>90-З</t>
  </si>
  <si>
    <t>82-ЗРТ</t>
  </si>
  <si>
    <t>83-РЗ</t>
  </si>
  <si>
    <t>131-ПК</t>
  </si>
  <si>
    <t>149-ЗО</t>
  </si>
  <si>
    <t>197-З</t>
  </si>
  <si>
    <t>636/237-VII-ОЗ</t>
  </si>
  <si>
    <t>3935-ЗПО</t>
  </si>
  <si>
    <t>118-ГД</t>
  </si>
  <si>
    <t>151-ЗСО</t>
  </si>
  <si>
    <t>119-ЗО</t>
  </si>
  <si>
    <t>137-ОЗ</t>
  </si>
  <si>
    <t>727-ЗО</t>
  </si>
  <si>
    <t>132-оз</t>
  </si>
  <si>
    <t>101-ЗАО</t>
  </si>
  <si>
    <t>93-РЗ</t>
  </si>
  <si>
    <t>887-ЗРТ</t>
  </si>
  <si>
    <t>110-ЗРХ</t>
  </si>
  <si>
    <t>110-ЗС</t>
  </si>
  <si>
    <t>4-1351</t>
  </si>
  <si>
    <t>112-ОЗ</t>
  </si>
  <si>
    <t>145-ОЗ</t>
  </si>
  <si>
    <t>307-ОЗ</t>
  </si>
  <si>
    <t>2537-ОЗ</t>
  </si>
  <si>
    <t>141-ОЗ</t>
  </si>
  <si>
    <t>2487-VI</t>
  </si>
  <si>
    <t>5-8</t>
  </si>
  <si>
    <t>1015-VI</t>
  </si>
  <si>
    <t>2134-ЗЗК</t>
  </si>
  <si>
    <t>4, 4(1)</t>
  </si>
  <si>
    <t>6, 6(1)</t>
  </si>
  <si>
    <t>253-КЗ</t>
  </si>
  <si>
    <t>224-ОЗ</t>
  </si>
  <si>
    <t>2767-ОЗ</t>
  </si>
  <si>
    <t>115-ЗО</t>
  </si>
  <si>
    <t>181-ОЗ</t>
  </si>
  <si>
    <t>Для оценки показателей раздела используется первоначально принятый закон субъекта Российской Федерации о бюджете на 2023 год и на плановый период 2024 и 2025 годов. Иные документы и материалы в целях оценки показателей раздела не учитываются.</t>
  </si>
  <si>
    <t>Размещен ли первоначально принятый закон о бюджете на 2023 год и на плановый период 2024 и 2025 годов в открытом доступе на сайте, предназначенном для размещения бюджетных данных?</t>
  </si>
  <si>
    <t>В целях оценки показателя учитывается размещение закона о бюджете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то оценка показателя принимает значение «0 (ноль) баллов». Допускается размещение текстовой части закона в графическом формате.</t>
  </si>
  <si>
    <t>В целях составления рейтинга надлежащей практикой считается размещение в открытом доступе закона о бюджете в течение десяти рабочих дней от даты его подписания. В случае, если указанное требование не выполняется, то оценка показателя принимает значение «0 (ноль) баллов».</t>
  </si>
  <si>
    <t>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t>
  </si>
  <si>
    <t>Для оценки показателя как минимум должны быть представлены сведения с детализацией по статьям доходов для 1, 3, 5, 6 и 7 подгрупп 1 группы и для 2 подгруппы 2 группы классификации доходов бюджетов. Если указанные требования не выполняются, то оценка показателя принимает значение «0 (ноль) баллов».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t>
  </si>
  <si>
    <t>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t>
  </si>
  <si>
    <t>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t>
  </si>
  <si>
    <t xml:space="preserve">В целях оценки показателя учитываются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содержащиеся в текстовой части закона о бюджете и (или) в приложении (приложениях) к закону о бюджете, которые непосредственно отражают общий объем межбюджетных трансфертов, в том числе дотаций, субсидий, субвенций, иных межбюджетных трансфертов, предоставляемых другим бюджетам бюджетной системы Российской Федерации в 2023 году и плановом периоде 2024 и 2025 годов. </t>
  </si>
  <si>
    <t>Используемые формулировки должны однозначно указывать на то, что речь идет об общем объеме межбюджетных трансфертов, предоставляемых другим бюджетам бюджетной системы Российской Федерации. При использовании неоднозначных формулировок или при выявлении недостоверных данных оценка показателя принимает значение «0 (ноль) баллов».</t>
  </si>
  <si>
    <t>Расчеты в целях оценки показателя не производятся. Допускается представление сведений об объеме отдельных межбюджетных трансфертов одной формы для одного типа бюджетов (например, дотации местным бюджетам), если количество таких видов межбюджетных трансфертов не превышает трех. В иных случаях сведения об объеме отдельных межбюджетных трансфертов в целях оценки показателя не учитываются.</t>
  </si>
  <si>
    <t>Если в законе о бюджете сведения об общем объеме межбюджетных трансфертов, предусмотренных другим бюджетам бюджетной системы Российской Федерации, с детализацией по формам межбюджетных трансфертов, содержатся в составе ведомственной, программной или функциональной структуры расходов, то применяется понижающий коэффициент, используемый в связи с затрудненным поиском бюджетных данных. Сведения об объемах бюджетных ассигнований на предоставление межбюджетных трансфертов в составе ведомственной, программной или функциональной структуры расходов в целях оценки показателя не учитываются.</t>
  </si>
  <si>
    <t>Да, содержатся для всех бюджетов бюджетной системы Российской Федерации, которым законом о бюджете предусмотрены межбюджетные трансферты</t>
  </si>
  <si>
    <t>Да, содержатся в части местных бюджетов, при этом законом о бюджете предусмотрены также межбюджетные трансферты другим бюджетам бюджетной системы Российской Федерации</t>
  </si>
  <si>
    <t>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t>
  </si>
  <si>
    <t xml:space="preserve">В целях оценки показателя учитываются субсидии, распределение которых по муниципальным образованиям утверждено законом о бюджете отдельными приложениями (приложением). Сводные данные о распределении субсидий по муниципальным образованиям без детализации по их конкретным видам (включая  консолидированные субсидии) в целях оценки показателя не учитываются. Сведения о распределении субсидий по отдельным муниципальным образованиям, содержащиеся в текстовой части закона, ведомственной, программной или функциональной структуре расходов, а также в приложении о распределении ассигнований на бюджетные инвестиции, в целях оценки показателя не учитываются. </t>
  </si>
  <si>
    <t>Если сведения о распределении субсидии по муниципальным образованиям не содержат информации об общем объеме субсидии, предусмотренной законом о бюджете и информации об объеме нераспределенной части субсидии (если часть соответствующей субсидии не распределена), то применяется понижающий коэффициент, используемый в связи с затрудненным поиском бюджетных данных.</t>
  </si>
  <si>
    <t>Если сведения о наименовании межбюджетного трансферта, распределенного по муниципальным образованиям, не указывают однозначно на форму межбюджетного трансферта, то такие межбюджетные трансферты не учитываются в целях оценки показателя.</t>
  </si>
  <si>
    <t xml:space="preserve">В целях оценки показателя для определения общего объема субсидий, предоставляемых местным бюджетам в 2023 году, используются сведения об общем объеме субсидий местным бюджетам на 2023 год, непосредственно содержащиеся в текстовой части закона о бюджете и (или) приложении к нему, или осуществляется расчет по ведомственной структуре расходов с использованием вида расходов 520 или 521, 522 и 523 (если такая детализация имеется). В случае осуществления расчета для определения общего объема субсидий применяется понижающий коэффициент, используемый в связи с затрудненным поиском бюджетных данных. В случае, если определить общий объем субсидий местным бюджетам на 2023 год указанными способами не представляется возможным, то оценка показателя принимает значение «0 (ноль) баллов». </t>
  </si>
  <si>
    <t>В случае, если законом о бюджете субъекта Российской Федерации (за исключением городов федерального значения) субсидии местным бюджетам на 2023 год не предусмотрены, то для соответствующего субъекта Российской Федерации оценка показателя принимает значение «0 (ноль) баллов». Для городов федерального значения оценка показателя не осуществляется, производится корректировка максимального количества баллов.</t>
  </si>
  <si>
    <t>75 – 100 %</t>
  </si>
  <si>
    <t>50 – 74,9 %</t>
  </si>
  <si>
    <t>Менее 50 % или расчет показателя затруднен</t>
  </si>
  <si>
    <t xml:space="preserve">АНКЕТА ДЛЯ СОСТАВЛЕНИЯ РЕЙТИНГА СУБЪЕКТОВ РОССИЙСКОЙ ФЕДЕРАЦИИ ПО УРОВНЮ ОТКРЫТОСТИ БЮДЖЕТНЫХ ДАННЫХ В 2023 ГОДУ </t>
  </si>
  <si>
    <t>1.1 Размещен ли первоначально принятый закон о бюджете на 2023 год и на плановый период 2024 и 2025 годов в открытом доступе на сайте, предназначенном для размещения бюджетных данных?</t>
  </si>
  <si>
    <t>1.2 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t>
  </si>
  <si>
    <t>1.3 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t>
  </si>
  <si>
    <t>1.4 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t>
  </si>
  <si>
    <t>1.5 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t>
  </si>
  <si>
    <r>
      <t xml:space="preserve">Результаты оценки уровня открытости бюджетных данных субъектов Российской Федерации по разделу 1 "Первоначально утвержденный бюджет" за 2023 год </t>
    </r>
    <r>
      <rPr>
        <sz val="9"/>
        <rFont val="Times New Roman"/>
        <family val="1"/>
        <charset val="204"/>
      </rPr>
      <t>(группировка по федеральным округам)</t>
    </r>
  </si>
  <si>
    <t>Исходные данные и оценка показателя "1.1 Размещен ли первоначально принятый закон о бюджете на 2023 год и на плановый период 2024 и 2025 годов в открытом доступе на сайте, предназначенном для размещения бюджетных данных?"</t>
  </si>
  <si>
    <t>Исходные данные и оценка показателя "1.2 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t>
  </si>
  <si>
    <t>Исходные данные и оценка показателя "1.3 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t>
  </si>
  <si>
    <t>Источник данных: Закон субъекта РФ о бюджете на 2023 год и на плановый период 2024 и 2025 годов</t>
  </si>
  <si>
    <t>119-ОЗ</t>
  </si>
  <si>
    <t>14</t>
  </si>
  <si>
    <t>9</t>
  </si>
  <si>
    <t>8</t>
  </si>
  <si>
    <t>19, 20</t>
  </si>
  <si>
    <t>6, 8</t>
  </si>
  <si>
    <t>11, 11а, 12, 12а, 12.1, 12.1а, 12.2, 12.2а, 12.3, 12.3а, 12.4, 12.4а</t>
  </si>
  <si>
    <t>6-7, 9</t>
  </si>
  <si>
    <t>20</t>
  </si>
  <si>
    <t>44</t>
  </si>
  <si>
    <t>7</t>
  </si>
  <si>
    <t>прил. 16 (табл. 56-70, 72-80, 85-88, 90, 92-93)</t>
  </si>
  <si>
    <t>прил. 17 (табл. 3-61)</t>
  </si>
  <si>
    <t>прил. 11 (табл. 4-36)</t>
  </si>
  <si>
    <t>прил. 19 (табл. 2-56)</t>
  </si>
  <si>
    <t>прил. 14 (табл. 3-32)</t>
  </si>
  <si>
    <t>прил. 13 (табл. 22-56)</t>
  </si>
  <si>
    <t>ст. 26</t>
  </si>
  <si>
    <t>прил. 11 (табл. 3.1-3.41)</t>
  </si>
  <si>
    <t>ст. 21</t>
  </si>
  <si>
    <t>прил. 10 (табл. 21-80)</t>
  </si>
  <si>
    <t>прил. 12 (табл. 7-24)</t>
  </si>
  <si>
    <t>прил. 19 (табл. 4-44, 80-82)</t>
  </si>
  <si>
    <t>прил. 11 (табл. 11-50)</t>
  </si>
  <si>
    <t>прил. 11 (табл. 2-15)</t>
  </si>
  <si>
    <t>ст. 10</t>
  </si>
  <si>
    <t>прил. 11 (табл. 1-19)</t>
  </si>
  <si>
    <t>ст. 56</t>
  </si>
  <si>
    <t>прил. 20 (табл. 3-54)</t>
  </si>
  <si>
    <t>прил. 10 (табл. 5, 8)</t>
  </si>
  <si>
    <t>прил. 19</t>
  </si>
  <si>
    <t>прил. 17 (табл. 11-12, 18-19, 21-24, 26-27, 29-32, 34-37)</t>
  </si>
  <si>
    <t>прил. 16, 18-19</t>
  </si>
  <si>
    <t>прил. 13 (табл. 17-35)</t>
  </si>
  <si>
    <t>прил. 6</t>
  </si>
  <si>
    <t>прил. 11 (табл. 12-15, 23-24)</t>
  </si>
  <si>
    <t>прил. 15 (табл. 3-11)</t>
  </si>
  <si>
    <t>прил. 9 (табл. 22, 24-36)</t>
  </si>
  <si>
    <t xml:space="preserve">Расчет показателя затруднен. Сведения об общем объеме субсидий местным бюджетам на 2023 год в законе отсутствуют. В ведомственной структуре расходов используется вид расходов 500 без детализации. </t>
  </si>
  <si>
    <t>прил. 11-20</t>
  </si>
  <si>
    <t>ст. 18</t>
  </si>
  <si>
    <t>прил. 11 (табл. 44-78)</t>
  </si>
  <si>
    <t>ст. 20</t>
  </si>
  <si>
    <t>прил. 10.1</t>
  </si>
  <si>
    <t>прил. 10 (табл. 2.1-2.42)</t>
  </si>
  <si>
    <t>прил. 17 (табл. 3-26)</t>
  </si>
  <si>
    <t>прил. 9</t>
  </si>
  <si>
    <t>прил. 16 (табл. 18-42)</t>
  </si>
  <si>
    <t>прил. 43-64</t>
  </si>
  <si>
    <t>прил. 16 (табл. 4-81)</t>
  </si>
  <si>
    <t>прил. 38 (табл. 2.1-2.74)</t>
  </si>
  <si>
    <t>прил. 15 (табл. 19-33, 35-39)</t>
  </si>
  <si>
    <t>прил. 39-94</t>
  </si>
  <si>
    <t>прил. 26 (табл. 3-13, 35-44)</t>
  </si>
  <si>
    <t xml:space="preserve">Не соблюдается последовательность представления данных по формам межбюджетных трансфертов в приложении 16 (К1). </t>
  </si>
  <si>
    <t>Исходные данные и оценка показателя "1.5  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t>
  </si>
  <si>
    <t>Исходные данные и оценка показателя "1.4 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t>
  </si>
  <si>
    <t xml:space="preserve">Источник данных: Закон субъекта РФ о бюджете на 2023 год и на плановый период 2024 и 2025 годов </t>
  </si>
  <si>
    <t>Наименование субъекта                                                  Российской Федерации</t>
  </si>
  <si>
    <t>http://beldepfin.ru/dokumenty/vse-dokumenty/zakon-belgorodskoj-oblasti-ot-23-dekabrya-20222912/</t>
  </si>
  <si>
    <t>https://bryanskoblfin.ru/open/Show/Content/2236?ParentItemId=278</t>
  </si>
  <si>
    <t>https://df.ivanovoobl.ru/regionalnye-finansy/zakon-ob-oblastnom-byudzhete/</t>
  </si>
  <si>
    <t>https://kursk.ru/region/economy/page-153264/</t>
  </si>
  <si>
    <t>https://portal.tverfin.ru/Menu/Page/645</t>
  </si>
  <si>
    <t>http://minfin.karelia.ru/2023-2025-gody/</t>
  </si>
  <si>
    <t>https://finance.lenobl.ru/ru/pravovaya-baza/oblastnoe-zakondatelstvo/byudzhet-lo/ob2023/</t>
  </si>
  <si>
    <t>https://minfin.novreg.ru/2023-god-prinyatye-oblastnye-zakony.html</t>
  </si>
  <si>
    <t>нет (по состоянию на 13.02.2023)</t>
  </si>
  <si>
    <t>https://minfin.krasnodar.ru/activity/byudzhet/zakony-o-kraevom-byudzhete/year-2023</t>
  </si>
  <si>
    <t>не размещено: https://fin.sev.gov.ru/pravovye-aktu/regionalnye-npa/regionalnye-npa-2021/</t>
  </si>
  <si>
    <t>В срок надлежащей практики (по состоянию на 14.02.2023) не размещен.</t>
  </si>
  <si>
    <t>https://mfri.ru/index.php/open-budget/pervonachalno-utverzhdennyj-byudzhet</t>
  </si>
  <si>
    <t>http://minfin09.ru/category/load/%d0%b1%d1%8e%d0%b4%d0%b6%d0%b5%d1%82-%d1%80%d0%b5%d1%81%d0%bf%d1%83%d0%b1%d0%bb%d0%b8%d0%ba%d0%b8/2021/</t>
  </si>
  <si>
    <t>нет (по состоянию на 14.02.2023)</t>
  </si>
  <si>
    <t>не размещено: https://minfinchr.ru/deyatelnost/otkrytyj-byudzhet/pervonachalno-utverzhdennyj-byudzhet</t>
  </si>
  <si>
    <t>не размещено: http://forcitizens.ru/o-byudzhete/dokumentatsiya#13-24-zakon-o-byudzhete</t>
  </si>
  <si>
    <t>https://mari-el.gov.ru/ministries/minfin/pages/ZakRespORespBudg/</t>
  </si>
  <si>
    <t>https://www.minfinrm.ru/norm-akty-new/zakony/norm-prav-akty/budget-2022/</t>
  </si>
  <si>
    <t>https://www.mfur.ru/budjet/formirovanie/2023-god.php</t>
  </si>
  <si>
    <t>https://www.minfin.kirov.ru/otkrytyy-byudzhet/dlya-spetsialistov/oblastnoy-byudzhet/%d0%9f%d0%bb%d0%b0%d0%bd%d0%b8%d1%80%d0%be%d0%b2%d0%b0%d0%bd%d0%b8%d0%b5%20%d0%b1%d1%8e%d0%b4%d0%b6%d0%b5%d1%82%d0%b0/byudzhet/%d0%9f%d0%bb%d0%b0%d0%bd%d0%b8%d1%80%d0%be%d0%b2%d0%b0%d0%bd%d0%b8%d0%b5%20%d0%b1%d1%8e%d0%b4%d0%b6%d0%b5%d1%82%d0%b0/</t>
  </si>
  <si>
    <t>https://mf.orb.ru/activity/26541/</t>
  </si>
  <si>
    <t>https://admtyumen.ru/ogv_ru/finance/finance/bugjet/more.htm?id=11938559@cmsArticle</t>
  </si>
  <si>
    <t>https://minfin74.ru/minfin/activities/budget/law/2023-2025.htm</t>
  </si>
  <si>
    <t>https://www.yamalfin.ru/index.php?option=com_content&amp;view=section&amp;id=53&amp;Itemid=156</t>
  </si>
  <si>
    <t>https://minfin.rtyva.ru/node/23572/</t>
  </si>
  <si>
    <t>http://openbudget.gfu.ru/budget/law/</t>
  </si>
  <si>
    <t>https://www.ofukem.ru/budget/laws2022-2024/</t>
  </si>
  <si>
    <t>https://mf.omskportal.ru/oiv/mf/otrasl/otkrbudg/obl-budget/2023%E2%80%932025</t>
  </si>
  <si>
    <t>https://minfin.sakha.gov.ru/zakony-o-bjudzhete/2023-2025-gg</t>
  </si>
  <si>
    <t>https://minfin.75.ru/byudzhet/konsolidirovannyy-kraevoy-byudzhet/zakony-o-byudzhete</t>
  </si>
  <si>
    <t>http://publication.pravo.gov.ru/Document/View/2500202212200003</t>
  </si>
  <si>
    <t>https://minfin.khabkrai.ru/portal/Show/Category/34?ItemId=227</t>
  </si>
  <si>
    <t>https://openbudget.49gov.ru/dokumenty#209-2023-god</t>
  </si>
  <si>
    <t>https://xn--80atapud1a.xn--p1ai/depfin/about/struktura-i-sostav/upravlenie-finansov/napravleniya-raboty/okruzhnoy-byudzhet/zakon-na-ocherednoy-finansovyy-god-i-na-planovyy-period.php</t>
  </si>
  <si>
    <t>https://bryanskoblfin.ru/Show/Category/10?ItemId=4</t>
  </si>
  <si>
    <t>Перечень и наименования приложений представлены в отдельном файле.</t>
  </si>
  <si>
    <t>https://finance.pskov.ru/ob-upravlenii/pravovaya-baza</t>
  </si>
  <si>
    <t>Размещен в разделе "О Комитете / Правовая база", поиск затруднен (К1). Документ не структурирован (К2).</t>
  </si>
  <si>
    <t>https://portal-ob.volgafin.ru/dokumenty/zakon_o_byudzhete/2022</t>
  </si>
  <si>
    <t>На сайте финансового органа используется наименование архива, скачиваемого по ссылке, - "PROEKT-ZAKONA-2023", основание для применения К2. Учтен закон, размещенный на специализированном портале.</t>
  </si>
  <si>
    <t>не размещено: hhttp://portal.minfinrd.ru/Menu/Page/1129</t>
  </si>
  <si>
    <t>На сайте финансового органа наименования приложений не отражают содержание, используются только номера, основание для применения К2. Учтен закон, размещенный на специализированном портале.</t>
  </si>
  <si>
    <t>Документ не структурирован (К2).</t>
  </si>
  <si>
    <t>нет (частично)</t>
  </si>
  <si>
    <t>Документ структурирован частично (К2).</t>
  </si>
  <si>
    <t>г. Москва </t>
  </si>
  <si>
    <t>г. Санкт-Петербург </t>
  </si>
  <si>
    <t>Республика Северная Осетия – Алания</t>
  </si>
  <si>
    <t>Республика Марий Эл</t>
  </si>
  <si>
    <t>Чувашская Республика – Чувашия</t>
  </si>
  <si>
    <t>Нижегородская область </t>
  </si>
  <si>
    <t>Ханты-Мансийский автономный округ – Югра</t>
  </si>
  <si>
    <t>Кемеровская область – Кузбасс</t>
  </si>
  <si>
    <t>Приморский край </t>
  </si>
  <si>
    <t>Наименование субъекта             Российской Федерации</t>
  </si>
  <si>
    <t>Объем межбюджетных трансфертов бюджетам государственных внебюджетных фондов Российской Федерации</t>
  </si>
  <si>
    <t>Наименование субъекта          Российской Федерации</t>
  </si>
  <si>
    <t>Фонду пенсионного и социального страхования РФ</t>
  </si>
  <si>
    <t>Представлены в полном объеме сведения об объемах межбюджетных трансфертов другим бюджетам бюджетной системы РФ (кроме местных бюджетов)</t>
  </si>
  <si>
    <t>Наличие в текстовой части закона о бюджете или в приложениях к нему сведений об общем объеме межбюджетных трансфертов, предоставляемых другим бюджетам бюджетной системы РФ (кроме местных бюджетов) на 2023 год (в тыс. рублей)</t>
  </si>
  <si>
    <t>Проверочный расчет достоверности данных об общем объеме межбюджетных трансфертов местным бюджетам</t>
  </si>
  <si>
    <t>Расчет общего объема межбюджетных трансфертов, предоставляемых другим бюджетам бюджетной системы РФ (сумма граф M и V)</t>
  </si>
  <si>
    <t>Объем расходов на предоставление межбюджетных трансфертов другим бюджетам бюджетной системы по ВР 500 (расчет по ведомственной структуре расходов)</t>
  </si>
  <si>
    <t xml:space="preserve">Федеральному фонду ОМС </t>
  </si>
  <si>
    <t>https://fin.tmbreg.ru/6347/2010.html</t>
  </si>
  <si>
    <t>Оценены сведения в части местных бюджетов.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t>
  </si>
  <si>
    <t>Сведения об общем объеме дотаций местным бюджетам не указаны, представлены сведения по нескольким позициям, в целях оценки показателя произведено их суммирование (К1).</t>
  </si>
  <si>
    <t>Межбюджетные трансферты государственным внебюджетным фондам указаны без конкретизации фондов.</t>
  </si>
  <si>
    <t>Оценены сведения в части местных бюджетов. В части межбюджетных трансфертов Фонду пенсионного и социального страхования РФ в статье 13 представлены недостоверные данные (отличаются от указанных в ведомственной структуре расходов).</t>
  </si>
  <si>
    <t>Оценены сведения в части местных бюджетов. Сведения об общем объеме дотаций местным бюджетам не указаны, представлены сведения по нескольким позициям, в целях оценки показателя произведено их суммирование (К1). Сведения об объеме межбюджетных трансфертов другим бюджетам бюджетной системы (кроме местных бюджетов) представлены частично (не отражены межбюджетные трансферты Фонду пенсионного и социального страхования).</t>
  </si>
  <si>
    <t>Представлены недостоверные данные в части иных межбюджетных трансфертов местным бюджетам (указаны дважды, должно быть "в том числе").</t>
  </si>
  <si>
    <t xml:space="preserve">Оценены сведения в части местных бюджетов. В части объема межбюджетных трансфертов, предоставляемых Фонду пенсионного и социального страхования РФ, в статье 19 закона используется некорректная формулировка: "Средства федерального бюджета, передаваемые бюджету Фонда пенсионного и социального страхования Российской Федерации", соответствующие объемы межбюджетных трансфертов не учитываются в целях оценки показателя. </t>
  </si>
  <si>
    <t>56, 60</t>
  </si>
  <si>
    <t>Оценены сведения в части местных бюджетов. Сведения об общем объеме субсидий бюджетам поселений не указаны, представлены сведения по нескольким позициям, в целях оценки показателя произведено их суммирование (К1). В части межбюджетных трансфертов, предоставляемых другим бюджетам бюджетной системы РФ (кроме местных бюджетов), в текстовой части сведения представлены частично (вероятно, не учтено бюджетное ассигнование с КБК 849 10 01 1610052900 500).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t>
  </si>
  <si>
    <t>Оценены сведения в части местных бюджетов. В части межбюджетных трансфертов, предоставляемых другим бюджетам бюджетной системы РФ (кроме местных бюджетов), в текстовой части сведения представлены частично (не учтено бюджетное ассигнование с КБК 855 10 03 0910100 540).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 (ВР 320).</t>
  </si>
  <si>
    <t>Проверочный расчет: сумма межбюджетных трансфертов, предоставляемых местным бюджетам, указанных в законе</t>
  </si>
  <si>
    <t>Проверочный расчет: сумма межбюджетных трансфертов, предоставляемых другим бюджетам бюджетной системы РФ (кроме местных бюджетов), указанных в законе</t>
  </si>
  <si>
    <t>16, 17</t>
  </si>
  <si>
    <t>Оценены сведения в части местных бюджетов. В части межбюджетных трансфертов, предоставляемых другим бюджетам бюджетной системы РФ (кроме местных бюджетов), в текстовой части сведения представлены частично (вероятно, не учтено бюджетное ассигнование с КБК 855 09 09 9990028360 500). В части расходов на страховые взносы на обязательное медицинское страхование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 (отражены по ВР 300).</t>
  </si>
  <si>
    <t>Сведений недостаточно для оценки показателя.</t>
  </si>
  <si>
    <t>10–12</t>
  </si>
  <si>
    <t>17–20</t>
  </si>
  <si>
    <t>11–16</t>
  </si>
  <si>
    <t>12–14</t>
  </si>
  <si>
    <t>10–15</t>
  </si>
  <si>
    <t>23–25</t>
  </si>
  <si>
    <t>8, 10–13</t>
  </si>
  <si>
    <t>4, 10–14</t>
  </si>
  <si>
    <t>15–16, 18</t>
  </si>
  <si>
    <t>1, 19–23</t>
  </si>
  <si>
    <t>25, 26, 29–32</t>
  </si>
  <si>
    <t>7, 13–15</t>
  </si>
  <si>
    <t>8–10</t>
  </si>
  <si>
    <t xml:space="preserve">Общий объем дотаций местным бюджетам не указан, представлены сведения по нескольким позициям, в целях оценки показателя произведено их суммирование (К1). </t>
  </si>
  <si>
    <t>16–22</t>
  </si>
  <si>
    <t xml:space="preserve">Нет </t>
  </si>
  <si>
    <t xml:space="preserve">Сведений недостаточно для оценки показателя. В приложении 10 представлены общие объемы межбюджетных трансфертов с детализацией по формам, но не указано, каким именно бюджетам бюджетной системы они предназначены. Согласно ведомственной структуре расходов субвенции предусмотрены не только местным бюджетам, но и федеральному бюджету. </t>
  </si>
  <si>
    <t xml:space="preserve">Сведений недостаточно для оценки показателя. </t>
  </si>
  <si>
    <t>6, 10</t>
  </si>
  <si>
    <t>Общий объем межбюджетных трансфертов местным бюджетам</t>
  </si>
  <si>
    <t>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представлены частично (не указан межбюджетный трансферт Фонду пенсионного и социального страхования РФ в объеме 28000 тыс. рублей).</t>
  </si>
  <si>
    <t>В части 2 статьи 9 используются некорректные формулировки (часть расчетной дотации, замененная нормативом отчислений от налога, перестает быть дотацией).</t>
  </si>
  <si>
    <t>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представлены частично (не указаны межбюджетные трансферты Фонду пенсионного и социального страхования РФ).</t>
  </si>
  <si>
    <t>Дотации на выравнивание бюджетной обеспеченности заменены дополнительными нормативами отчислений (см. статью 6). Межбюджетные трансферты другим бюджетам бюджетной системы РФ (кроме местных бюджетов) не предусмотрены.</t>
  </si>
  <si>
    <t>Оценены сведения в части местных бюджетов.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согласно ведомственной структуре расходов бюджета указанные расходы не являются межбюджетными трансфертами.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t>
  </si>
  <si>
    <t>Межбюджетные трансферты государственным внебюджетным фондам указаны без конкретизации фондов, предусмотрены средства Фонду пенсионного и социального страхования РФ и Территориальному фонду обязательного медицинского страхования.</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</si>
  <si>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представлены частично (в том числе ТФОМС).</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</si>
  <si>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бюджета предусмотрены межбюджетные трансферты Фонду пенсионного и социального страхования РФ и, вероятно, территориальному фонду обязательного медицинского страхования.</t>
  </si>
  <si>
    <t xml:space="preserve">Оценены сведения в части местных бюджетов. Разница в объеме 0,3 тыс. рублей расценена как результат округлений. В части межбюджетных трансфертов, предоставляемым другим бюджетам бюджетной системы РФ (кроме местных бюджетов), сведения не представлены. Согласно ведомственной структуре расходов бюджета предусмотрен межбюджетный трансферт Фонду пенсионного и социального страхования РФ.  </t>
  </si>
  <si>
    <t xml:space="preserve">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не представлены. Согласно ведомственной структуре расходов бюджета предусмотрены межбюджетные трансферты федеральному бюджету и Фонду пенсионного и социального страхования РФ.  </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</si>
  <si>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федеральному бюджету, бюджетам ХМАО И ЯНАО, внебюджетным фондам, определить, каким именно бюджетам и сколько предусмотрено межбюджетных трансфертов, невозможно.</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</si>
  <si>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Фонду пенсионного и социального страхования РФ.</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</si>
  <si>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Фонду пенсионного и социального страхования РФ и федеральному бюджету.</t>
  </si>
  <si>
    <t xml:space="preserve">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не представлены, Согласно ведомственной структуре расходов бюджета предусмотрены межбюджетные трансферты федеральному бюджету и, вероятно, Фонду пенсионного и социального страхования РФ.  </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</si>
  <si>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федеральному бюджету, бюджету Ленинградской области, Фонду  пенсионного и социального страхования РФ и территориальному фонду обязательного медицинского страхования.</t>
  </si>
  <si>
    <t xml:space="preserve">Сведений недостаточно для оценки показателя. В статье 56 не указан общий объем дотаций местным бюджетам, также не указано, каким уровням бюджетов предназначены субсидии, субвенции и иные межбюджетные трансферты. </t>
  </si>
  <si>
    <t xml:space="preserve">Сведений недостаточно для оценки показателя. В части местных бюджетов сведения требуемой детализации не представлены. </t>
  </si>
  <si>
    <t>Указано в законе (недостоверные данные)</t>
  </si>
  <si>
    <t>Недостоверные данные</t>
  </si>
  <si>
    <t>В законе указаны недостоверные данные об общем объеме субсидий.</t>
  </si>
  <si>
    <t>В законе указаны недостоверные данные об общем объеме межбюджетных трансфертов местным бюджетам. Определить, по какой именно форме межбюджетных трансфертов местным бюджетам допущена ошибка, невозможно.</t>
  </si>
  <si>
    <t>Распределено менее 50% субсидий по местным бюджетам. Не соблюдается последовательность представления данных по формам межбюджетных трансфертов в приложении 9 (основание для применения К1).</t>
  </si>
  <si>
    <t>Представлены недостоверные данные. Сумма объемов бюджетных ассигнований на предоставление межбюджетных трансфертов, указанных в статье 5, не совпадает с суммой объемов бюджетных ассигнований, указанных в ведомственной структуре расходов по виду расходов 500. (Вероятно, в статье 5 не учтено бюджетное ассигнование с КБК 840 14 02 1110150100 500 (дотации) объемом 49 549 тыс. рублей). В части дотации на выравнивание бюджетной обеспеченности муниципальных округов, городских округов используется некорректная формулировка (объем дотации указан с учетом средств, передаваемых муниципальным образованиям по дополнительным нормативам отчислений).</t>
  </si>
  <si>
    <t>Представлены недостоверные данные. Объем средств на предоставление межбюджетных трансфертов другим бюджетам бюджетной системы РФ, указанный в статье 20 закона, на 864 273 тыс. рублей отличается от объема средств, предусмотренного в ведомственной структуре расходов по виду расходов 500. Определить, где именно допущена ошибка, невозможно.</t>
  </si>
  <si>
    <t>В законе указаны недостоверные данные об общем объеме межбюджетных трансфертов, в том числе в части местных бюджетов. Определить, по какой именно форме межбюджетных трансфертов местным бюджетам допущена ошибка, невозможно.</t>
  </si>
  <si>
    <t>Распределено менее 50% субсидий. Для определения общего объема субсидий произведен расчет с использованием ВР 520 (основание для применения К1).</t>
  </si>
  <si>
    <t xml:space="preserve">Представлены недостоверные данные. Общий объем межбюджетных трансфертов, указанный в текстовой части закона, на 5 320,1 тыс. рублей отличается от рассчитанного общего объема межбюджетных по ВР 500. Вероятно, в тексте закона не учтена субсидия с КБК 745 36407R5191 520. Сведения об общем объеме дотаций местным бюджетам и об общем объеме иных межбюджетных трансфертов местным бюджетам не указаны, представлены сведения по нескольким позициям, в целях оценки произведено их суммирование (основание для применения К1). </t>
  </si>
  <si>
    <t>прил. 31</t>
  </si>
  <si>
    <t>прил. 17, 19-21</t>
  </si>
  <si>
    <t>Представлены недостоверные данные. Объем средств на предоставление межбюджетных трансфертов, указанный в статье 7 закона, на 1,9 тыс. рублей отличается от объема межбюджетных трансфертов, предусмотренного в ведомственной структуре расходов по ВР 500 (в том числе га 1,8 тыс. рублей - в части межбюджетных трансфертов местным бюджетам).</t>
  </si>
  <si>
    <t xml:space="preserve">Если в законе о бюджете представлены сведения об объемах отдельных межбюджетных трансфертов одной формы для одного типа бюджетов (например, дотации местным бюджетам) и количество таких видов межбюджетных трансфертов составляет более трех, но при этом возможно рассчитать общий объем таких межбюджетных трансфертов, показатель оценивался с применением понижающего коэффициента. </t>
  </si>
  <si>
    <t>Серым цветом в ячейках обозначены недостоверные данные.</t>
  </si>
  <si>
    <t>Представлены недостоверные сведения об общем объеме межбюджетных трансфертов в статье 7 закона (41 327 175,2 тыс. рублей), в ведомственной структуре расходов расходы по ВР 500 составляют 41 227 125,4 тыс. руб., что на 100 000 тыс. руб. меньше. Сумма указанных в статье 7 общих объемов межбюджетных трансфертов по уровням бюджетов и формам трансфертов также не совпадает с рассчитанным общим объемом расходов по ВР 500 ведомственной структуры расходов бюджета (разница составляет 1 131,7 тыс. руб.).</t>
  </si>
  <si>
    <t>В законе представлены недостоверные данные об объеме субсидий, распределенных по муниципальным образованиям (объем распределенных субсидий составляет 29 119 512,4 тыс. рублей, что превышает их общий объем). Вероятно, в таблице 34 приложения 17 указаны суммы в рублях. Не соблюдается последовательность представления данных по формам межбюджетных трансфертов в приложении 17 (основание для применения К1).</t>
  </si>
  <si>
    <t xml:space="preserve">В некоторых таблицах информация представлена в руб., а в некоторых в тыс. руб., рекомендуется использовать одинаковые единицы измерения. </t>
  </si>
  <si>
    <t>Распределено по муниципальным образованиям менее 50% субсидий. Для определения общего объема субсидий произведен расчет по ведомственной структуре расходов с использованием ВР 520, не соблюдается последовательность представления данных по формам межбюджетных трансфертов в приложении 14 (К1).</t>
  </si>
  <si>
    <t>В законе указаны недостоверные данные об общем объеме межбюджетных трансфертов. Определить, где именно допущена ошибка, невозможно.</t>
  </si>
  <si>
    <t>Общий объем субсидий местным бюджетам, тыс. рублей</t>
  </si>
  <si>
    <t>В законе указаны недостоверные данные. Объем распределенных по муниципальным образованиям субсидий на 1 229,3 тыс. рублей превышает общий объем субсидий местным бюджетам, указанный в статье 7 закона.</t>
  </si>
  <si>
    <t>Представлены недостоверные данные в части субсидий местным бюджетам. Объем распределенных по муниципальным образованиям субсидий на 1 229,3 тыс. рублей превышает общий объем субсидий местным бюджетам, указанный в статье 7 закона. Согласно ведомственной структуре расходов бюджета предусмотрены  межбюджетные трансферты Фонду пенсионного и социального страхования РФ (в объеме 103 367,0 тыс. рублей). Для субсидии с КБК 911 04 08 8400269050 500 (3 579,0 тыс. рублей) определить, какому бюджету (бюджетам) она предназначена, из закона о бюджете невозможно.</t>
  </si>
  <si>
    <t xml:space="preserve">прил. 13 </t>
  </si>
  <si>
    <t>Сведения из таблицы 129 не учтены в расчетах, непонятно, р каких формах межбюджетных трансфертов идет речь.</t>
  </si>
  <si>
    <t>Распределено по муниципальным образованиям менее 50% субсидий.</t>
  </si>
  <si>
    <t>В расчете использован общий объем субсидий, предоставляемым другим бюджетам бюджетной системы РФ, указанный в приложении 10 к закону.</t>
  </si>
  <si>
    <t>В расчете использован общий объем субсидий, предоставляемым другим бюджетам бюджетной системы РФ, указанный в части 4 статьи 56 закона.</t>
  </si>
  <si>
    <t>Указано в законе (без детализации по уровням бюджетов)</t>
  </si>
  <si>
    <t>** В целях оценки показателя из объема распределенных по муниципальным образованиям субсидий исключены нераспределенные средства.</t>
  </si>
  <si>
    <t>Сведений недостаточно для оценки показателя. В части местных бюджетов сведения об общих объемах межбюджетных трансфертов с детализацией по их формам не представлены, в части дотаций и субсидий произведен расчет отдельных составляющих.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t>
  </si>
  <si>
    <t>Расчет на основе приложения 20.</t>
  </si>
  <si>
    <t>прил. 20 (отдельные составляющие).</t>
  </si>
  <si>
    <t>Сведения об общем объеме субсидий местным бюджетам на 2023 год в законе отсутствуют, произведен расчет на основе приложения 20 (К1). Не соблюдается последовательность представления данных по формам межбюджетных трансфертов (К1).</t>
  </si>
  <si>
    <t>Нет (представлено ограничено)</t>
  </si>
  <si>
    <t>Налоговые доходы не детализированы по статьям, недостаточно для оценки показателя.</t>
  </si>
  <si>
    <t>Наличие в текстовой части закона о бюджете или в приложениях к нему сведений об общем объеме межбюджетных трансфертов, предоставляемых местным бюджетам на 2023 год (в тыс. рублей)</t>
  </si>
  <si>
    <t>Объем межбюджетных трансфертов бюджетам других субъектов РФ</t>
  </si>
  <si>
    <t>Наименование субъекта        Российской Федерации</t>
  </si>
  <si>
    <t>Не соблюдается последовательность представления данных по формам межбюджетных трансфертов (межбюджетные трансферты сгруппированы по государственным программам и их подпрограммам), К1.</t>
  </si>
  <si>
    <t>В законе указаны недостоверные данные о распределении субсидий. Согласно приложению 11 распределено по муниципальным образованиям 1 368 012 776,0 тыс. рублей, нераспределенный остаток - 215 371 200 рублей, что в сумме составляет 1 583 383 976 рублей, при этом в статье 11 и приложении 11 указан общий объем субсидий местным бюджетам 1 383 383 976 рублей, такую же цифру дает расчет по ведомственной структуре расходов бюджета.</t>
  </si>
  <si>
    <t>Наименование субъекта     Российской Федерации</t>
  </si>
  <si>
    <t>Наименование субъекта         Российской Федерации</t>
  </si>
  <si>
    <t>Представлены недостоверные данные в части местных бюджетов (сумма составляющих на 3 557,9 тыс. рублей больше общего объема межбюджетных трансфертов, указанного в тексте закона). В составе ведомственной структуры расходов бюджета предусмотрены межбюджетные трансферты  федеральному бюджету, Фонду пенсионного и социального страхования РФ.</t>
  </si>
  <si>
    <t xml:space="preserve">Представлены недостоверные данные. В Приложении 18 субвенция бюджету Пенсионного фонда на предоставление универсального ежемесячного пособия малообеспеченным семьям с детьми до 17 лет и беременным женщинам  в объеме 23 398,4 тыс. рублей указана два раза (в составе субвенций по строке 3 и отдельной строкой 6), при этом в суммарный объем субвенций, указанных по строке 3, а также в суммарный объем расходов на предоставление межбюджетных трансфертов в Приложении 18 данная субвенция не включена. </t>
  </si>
  <si>
    <t>ст. 8, прил. 18</t>
  </si>
  <si>
    <t>Представлены недостоверные данные. Указанный в тексте закона общий объем межбюджетных трансфертов местным бюджетам превышает расчетный объем таких межбюджетных трансфертов, произведенный по ведомственной структуре расходов бюджета. Определить, по какой именно форме межбюджетных трансфертов местным бюджетам допущена ошибка, невозможно.</t>
  </si>
  <si>
    <t>Результаты оценки уровня открытости бюджетных данных субъектов Российской Федерации по разделу 1 "Первоначально утвержденный бюджет" за 2023 год</t>
  </si>
  <si>
    <t>Сведения отсутствуют</t>
  </si>
  <si>
    <t>Мониторинг и оценка показателей раздела 1 проведены в период со 10 февраля по 10 июня 2023 г.</t>
  </si>
  <si>
    <t>Мониторинг и оценка показателя проведены в период с 10 по 16 февраля 2023 г.</t>
  </si>
  <si>
    <t>Мониторинг и оценка показателя проведены в период с 17 по 21 марта 2023 г.</t>
  </si>
  <si>
    <t>Мониторинг и оценка показателя проведены в период с 22 марта по 10 июня 2023 г.</t>
  </si>
  <si>
    <t>Мониторинг и оценка показателей раздела 1 проведены в период с 18 апреля по 10 июня 2023 г.</t>
  </si>
  <si>
    <t>Примечание. *Для городов федерального значения в соответствии с Методикой составления рейтинга оценка показателя не осуществляется, производится корректировка максимального количества баллов.</t>
  </si>
  <si>
    <t>Примечания: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</si>
</sst>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45">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11"/>
      <color theme="1"/>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sz val="9"/>
      <color theme="1"/>
      <name val="Times New Roman"/>
      <family val="1"/>
      <charset val="204"/>
    </font>
    <font>
      <i/>
      <sz val="9"/>
      <color theme="1"/>
      <name val="Times New Roman"/>
      <family val="1"/>
      <charset val="204"/>
    </font>
    <font>
      <sz val="8"/>
      <name val="Calibri"/>
      <family val="2"/>
      <charset val="204"/>
      <scheme val="minor"/>
    </font>
    <font>
      <b/>
      <sz val="9"/>
      <color theme="1"/>
      <name val="Times New Roman"/>
      <family val="1"/>
      <charset val="204"/>
    </font>
    <font>
      <sz val="11"/>
      <name val="Calibri"/>
      <family val="2"/>
      <charset val="204"/>
      <scheme val="minor"/>
    </font>
    <font>
      <sz val="9"/>
      <color rgb="FFFF0000"/>
      <name val="Times New Roman"/>
      <family val="1"/>
      <charset val="204"/>
    </font>
    <font>
      <b/>
      <sz val="10"/>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sz val="9"/>
      <color rgb="FFFF0000"/>
      <name val="Times New Roman"/>
      <family val="1"/>
    </font>
    <font>
      <b/>
      <sz val="11"/>
      <color theme="1"/>
      <name val="Times New Roman"/>
      <family val="1"/>
    </font>
    <font>
      <sz val="11"/>
      <color theme="1"/>
      <name val="Times New Roman"/>
      <family val="1"/>
    </font>
    <font>
      <sz val="9"/>
      <color theme="1"/>
      <name val="Times New Roman"/>
      <family val="1"/>
    </font>
    <font>
      <sz val="11"/>
      <color theme="0"/>
      <name val="Calibri"/>
      <family val="2"/>
      <charset val="204"/>
      <scheme val="minor"/>
    </font>
    <font>
      <sz val="9"/>
      <color rgb="FFFF0000"/>
      <name val="Calibri"/>
      <family val="2"/>
      <charset val="204"/>
      <scheme val="minor"/>
    </font>
    <font>
      <sz val="14"/>
      <color theme="1"/>
      <name val="Times"/>
      <family val="1"/>
    </font>
    <font>
      <b/>
      <sz val="9"/>
      <name val="Times New Roman"/>
      <family val="1"/>
    </font>
    <font>
      <b/>
      <sz val="9"/>
      <color theme="1"/>
      <name val="Times New Roman"/>
      <family val="1"/>
    </font>
    <font>
      <sz val="10"/>
      <color theme="0"/>
      <name val="Times New Roman"/>
      <family val="1"/>
      <charset val="204"/>
    </font>
    <font>
      <sz val="8"/>
      <color theme="0"/>
      <name val="Times New Roman"/>
      <family val="1"/>
      <charset val="204"/>
    </font>
    <font>
      <sz val="8"/>
      <color rgb="FFFF0000"/>
      <name val="Calibri"/>
      <family val="2"/>
      <charset val="204"/>
      <scheme val="minor"/>
    </font>
    <font>
      <sz val="9"/>
      <color theme="0"/>
      <name val="Times New Roman"/>
      <family val="1"/>
    </font>
    <font>
      <sz val="8"/>
      <color theme="1"/>
      <name val="Times New Roman"/>
      <family val="1"/>
    </font>
    <font>
      <i/>
      <sz val="9"/>
      <color theme="1"/>
      <name val="Times New Roman"/>
      <family val="1"/>
    </font>
    <font>
      <u/>
      <sz val="9"/>
      <color theme="0"/>
      <name val="Times New Roman"/>
      <family val="1"/>
    </font>
    <font>
      <sz val="9"/>
      <color rgb="FFC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9" fillId="0" borderId="0"/>
    <xf numFmtId="164" fontId="6" fillId="0" borderId="0" applyFont="0" applyFill="0" applyBorder="0" applyAlignment="0" applyProtection="0"/>
  </cellStyleXfs>
  <cellXfs count="294">
    <xf numFmtId="0" fontId="0" fillId="0" borderId="0" xfId="0"/>
    <xf numFmtId="0" fontId="11" fillId="0" borderId="0" xfId="0" applyFont="1"/>
    <xf numFmtId="0" fontId="12" fillId="0" borderId="0" xfId="0" applyFont="1"/>
    <xf numFmtId="0" fontId="13" fillId="0" borderId="0" xfId="0" applyFont="1"/>
    <xf numFmtId="4" fontId="13" fillId="0" borderId="0" xfId="0" applyNumberFormat="1" applyFont="1"/>
    <xf numFmtId="0" fontId="14" fillId="0" borderId="0" xfId="0" applyFont="1"/>
    <xf numFmtId="4" fontId="14" fillId="0" borderId="0" xfId="0" applyNumberFormat="1" applyFont="1"/>
    <xf numFmtId="0" fontId="15" fillId="0" borderId="0" xfId="0" applyFont="1"/>
    <xf numFmtId="49" fontId="0" fillId="0" borderId="0" xfId="0" applyNumberFormat="1"/>
    <xf numFmtId="0" fontId="16" fillId="0" borderId="0" xfId="0" applyFont="1" applyAlignment="1">
      <alignmen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xf>
    <xf numFmtId="166" fontId="2" fillId="0" borderId="1" xfId="3" applyNumberFormat="1" applyFont="1" applyBorder="1" applyAlignment="1">
      <alignment horizontal="center" vertical="center"/>
    </xf>
    <xf numFmtId="0" fontId="12" fillId="0" borderId="0" xfId="0" applyFont="1" applyAlignment="1">
      <alignment horizontal="center"/>
    </xf>
    <xf numFmtId="166" fontId="5"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6" fontId="18"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166" fontId="5" fillId="3" borderId="1" xfId="0" applyNumberFormat="1" applyFont="1" applyFill="1" applyBorder="1" applyAlignment="1">
      <alignment vertical="center" wrapText="1"/>
    </xf>
    <xf numFmtId="165"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xf>
    <xf numFmtId="166" fontId="0" fillId="0" borderId="0" xfId="0" applyNumberFormat="1"/>
    <xf numFmtId="4" fontId="0" fillId="0" borderId="0" xfId="0" applyNumberFormat="1"/>
    <xf numFmtId="0" fontId="2" fillId="0" borderId="0" xfId="0" applyFont="1" applyAlignment="1">
      <alignment vertical="center"/>
    </xf>
    <xf numFmtId="0" fontId="10" fillId="0" borderId="0" xfId="0" applyFont="1"/>
    <xf numFmtId="0" fontId="0" fillId="2" borderId="0" xfId="0" applyFill="1"/>
    <xf numFmtId="0" fontId="17" fillId="0" borderId="0" xfId="0" applyFont="1"/>
    <xf numFmtId="0" fontId="21" fillId="0" borderId="0" xfId="0" applyFont="1"/>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left" vertical="center"/>
    </xf>
    <xf numFmtId="0" fontId="23" fillId="0" borderId="0" xfId="0" applyFont="1" applyAlignment="1">
      <alignment horizontal="left" vertical="center"/>
    </xf>
    <xf numFmtId="0" fontId="2" fillId="0" borderId="2" xfId="0" applyFont="1" applyBorder="1" applyAlignment="1">
      <alignment horizontal="left" vertical="center"/>
    </xf>
    <xf numFmtId="0" fontId="21" fillId="0" borderId="2" xfId="0" applyFont="1" applyBorder="1" applyAlignment="1">
      <alignment vertical="center"/>
    </xf>
    <xf numFmtId="14" fontId="13" fillId="0" borderId="0" xfId="0" applyNumberFormat="1" applyFont="1"/>
    <xf numFmtId="0" fontId="18" fillId="2" borderId="1" xfId="0" applyFont="1" applyFill="1" applyBorder="1" applyAlignment="1">
      <alignment horizontal="left" vertical="center" wrapText="1"/>
    </xf>
    <xf numFmtId="0" fontId="20" fillId="3" borderId="1" xfId="0" applyFont="1" applyFill="1" applyBorder="1" applyAlignment="1">
      <alignment horizontal="center" vertical="center"/>
    </xf>
    <xf numFmtId="3" fontId="20"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49" fontId="20" fillId="3" borderId="1" xfId="0" applyNumberFormat="1" applyFont="1" applyFill="1" applyBorder="1" applyAlignment="1">
      <alignment vertical="center"/>
    </xf>
    <xf numFmtId="0" fontId="17" fillId="0" borderId="1" xfId="0" applyFont="1" applyBorder="1" applyAlignment="1">
      <alignment vertical="center"/>
    </xf>
    <xf numFmtId="0" fontId="17" fillId="0" borderId="1" xfId="0" applyFont="1" applyBorder="1" applyAlignment="1">
      <alignment horizontal="center" vertical="center"/>
    </xf>
    <xf numFmtId="165" fontId="20"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left" vertical="center"/>
    </xf>
    <xf numFmtId="165" fontId="17" fillId="0" borderId="1" xfId="0" applyNumberFormat="1" applyFont="1" applyBorder="1" applyAlignment="1">
      <alignment horizontal="right" vertical="center"/>
    </xf>
    <xf numFmtId="1" fontId="17" fillId="0" borderId="1" xfId="0" applyNumberFormat="1" applyFont="1" applyBorder="1" applyAlignment="1">
      <alignment horizontal="left" vertical="center"/>
    </xf>
    <xf numFmtId="165" fontId="17" fillId="0" borderId="1" xfId="0" applyNumberFormat="1" applyFont="1" applyBorder="1" applyAlignment="1">
      <alignment horizontal="left" vertical="center"/>
    </xf>
    <xf numFmtId="49" fontId="17" fillId="0" borderId="1" xfId="0" applyNumberFormat="1" applyFont="1" applyBorder="1" applyAlignment="1">
      <alignment horizontal="center" vertical="center"/>
    </xf>
    <xf numFmtId="165" fontId="20" fillId="3" borderId="1" xfId="0" applyNumberFormat="1" applyFont="1" applyFill="1" applyBorder="1" applyAlignment="1">
      <alignment horizontal="right" vertical="center"/>
    </xf>
    <xf numFmtId="165" fontId="17" fillId="3" borderId="1" xfId="0" applyNumberFormat="1" applyFont="1" applyFill="1" applyBorder="1" applyAlignment="1">
      <alignment horizontal="right" vertical="center"/>
    </xf>
    <xf numFmtId="49" fontId="17" fillId="0" borderId="1" xfId="0" applyNumberFormat="1" applyFont="1" applyBorder="1" applyAlignment="1">
      <alignment horizontal="left" vertical="center"/>
    </xf>
    <xf numFmtId="14" fontId="17" fillId="0" borderId="1" xfId="0" applyNumberFormat="1" applyFont="1" applyBorder="1" applyAlignment="1">
      <alignment horizontal="left" vertical="center"/>
    </xf>
    <xf numFmtId="14" fontId="17" fillId="3" borderId="1" xfId="0" applyNumberFormat="1" applyFont="1" applyFill="1" applyBorder="1" applyAlignment="1">
      <alignment horizontal="left" vertical="center"/>
    </xf>
    <xf numFmtId="0" fontId="13" fillId="0" borderId="0" xfId="0" applyFont="1" applyAlignment="1">
      <alignment horizontal="left" indent="1"/>
    </xf>
    <xf numFmtId="0" fontId="14" fillId="0" borderId="0" xfId="0" applyFont="1" applyAlignment="1">
      <alignment horizontal="center"/>
    </xf>
    <xf numFmtId="0" fontId="19" fillId="0" borderId="0" xfId="0" applyFont="1"/>
    <xf numFmtId="0" fontId="0" fillId="0" borderId="0" xfId="0" applyAlignment="1">
      <alignment horizontal="left"/>
    </xf>
    <xf numFmtId="4" fontId="14" fillId="0" borderId="0" xfId="0" applyNumberFormat="1" applyFont="1" applyAlignment="1">
      <alignment horizontal="center"/>
    </xf>
    <xf numFmtId="4" fontId="13" fillId="0" borderId="0" xfId="0" applyNumberFormat="1" applyFont="1" applyAlignment="1">
      <alignment horizontal="left" indent="1"/>
    </xf>
    <xf numFmtId="4" fontId="19" fillId="0" borderId="0" xfId="0" applyNumberFormat="1" applyFont="1"/>
    <xf numFmtId="0" fontId="12" fillId="0" borderId="0" xfId="0" applyFont="1" applyAlignment="1">
      <alignment horizontal="left"/>
    </xf>
    <xf numFmtId="165" fontId="17" fillId="0" borderId="1" xfId="5" applyNumberFormat="1" applyFont="1" applyFill="1" applyBorder="1" applyAlignment="1">
      <alignment horizontal="center" vertical="center"/>
    </xf>
    <xf numFmtId="9" fontId="18" fillId="2" borderId="1" xfId="0" applyNumberFormat="1" applyFont="1" applyFill="1" applyBorder="1" applyAlignment="1">
      <alignment horizontal="left" vertical="center" wrapText="1"/>
    </xf>
    <xf numFmtId="0" fontId="32" fillId="0" borderId="0" xfId="0" applyFont="1"/>
    <xf numFmtId="0" fontId="33" fillId="0" borderId="0" xfId="0" applyFont="1"/>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xf>
    <xf numFmtId="4" fontId="13" fillId="0" borderId="0" xfId="0" applyNumberFormat="1" applyFont="1" applyAlignment="1">
      <alignment horizontal="center"/>
    </xf>
    <xf numFmtId="0" fontId="13" fillId="0" borderId="0" xfId="0" applyFont="1" applyAlignment="1">
      <alignment wrapText="1"/>
    </xf>
    <xf numFmtId="4" fontId="13" fillId="0" borderId="0" xfId="0" applyNumberFormat="1" applyFont="1" applyAlignment="1">
      <alignment wrapText="1"/>
    </xf>
    <xf numFmtId="0" fontId="13" fillId="2" borderId="0" xfId="0" applyFont="1" applyFill="1" applyAlignment="1">
      <alignment horizontal="center"/>
    </xf>
    <xf numFmtId="14" fontId="20" fillId="3" borderId="1" xfId="0" applyNumberFormat="1" applyFont="1" applyFill="1" applyBorder="1" applyAlignment="1">
      <alignment horizontal="center" vertical="center" wrapText="1"/>
    </xf>
    <xf numFmtId="4" fontId="13" fillId="0" borderId="0" xfId="0" applyNumberFormat="1" applyFont="1" applyAlignment="1">
      <alignment horizontal="left"/>
    </xf>
    <xf numFmtId="0" fontId="22" fillId="0" borderId="0" xfId="0" applyFont="1"/>
    <xf numFmtId="49" fontId="20"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20" fillId="3" borderId="1" xfId="0" applyFont="1" applyFill="1" applyBorder="1" applyAlignment="1">
      <alignment vertical="center"/>
    </xf>
    <xf numFmtId="0" fontId="20" fillId="3" borderId="1" xfId="0" applyFont="1" applyFill="1" applyBorder="1" applyAlignment="1">
      <alignment horizontal="left" vertical="center"/>
    </xf>
    <xf numFmtId="0" fontId="17" fillId="3" borderId="1" xfId="0" applyFont="1" applyFill="1" applyBorder="1" applyAlignment="1">
      <alignment horizontal="center" vertical="center"/>
    </xf>
    <xf numFmtId="0" fontId="17" fillId="3" borderId="1" xfId="0" applyFont="1" applyFill="1" applyBorder="1" applyAlignment="1">
      <alignment vertical="center"/>
    </xf>
    <xf numFmtId="3" fontId="20" fillId="0" borderId="1" xfId="0" applyNumberFormat="1" applyFont="1" applyBorder="1" applyAlignment="1">
      <alignment horizontal="center" vertical="center"/>
    </xf>
    <xf numFmtId="0" fontId="17" fillId="3" borderId="1" xfId="0" applyFont="1" applyFill="1" applyBorder="1" applyAlignment="1">
      <alignment horizontal="left" vertical="center"/>
    </xf>
    <xf numFmtId="14" fontId="13" fillId="0" borderId="0" xfId="0" applyNumberFormat="1" applyFont="1" applyAlignment="1">
      <alignment horizontal="left"/>
    </xf>
    <xf numFmtId="165" fontId="13" fillId="0" borderId="0" xfId="0" applyNumberFormat="1" applyFont="1"/>
    <xf numFmtId="165" fontId="31" fillId="0" borderId="0" xfId="0" applyNumberFormat="1" applyFont="1"/>
    <xf numFmtId="0" fontId="34" fillId="0" borderId="0" xfId="0" applyFont="1"/>
    <xf numFmtId="11" fontId="34" fillId="0" borderId="0" xfId="0" applyNumberFormat="1" applyFont="1"/>
    <xf numFmtId="165" fontId="13" fillId="0" borderId="0" xfId="0" applyNumberFormat="1" applyFont="1" applyAlignment="1">
      <alignment horizontal="left"/>
    </xf>
    <xf numFmtId="49" fontId="20" fillId="2"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xf>
    <xf numFmtId="14" fontId="17" fillId="3" borderId="1" xfId="0" applyNumberFormat="1" applyFont="1" applyFill="1" applyBorder="1" applyAlignment="1">
      <alignment horizontal="right" vertical="center"/>
    </xf>
    <xf numFmtId="14" fontId="13" fillId="0" borderId="0" xfId="0" applyNumberFormat="1" applyFont="1" applyAlignment="1">
      <alignment horizontal="right"/>
    </xf>
    <xf numFmtId="165" fontId="13" fillId="0" borderId="0" xfId="0" applyNumberFormat="1" applyFont="1" applyAlignment="1">
      <alignment horizontal="right"/>
    </xf>
    <xf numFmtId="0" fontId="5" fillId="0" borderId="1" xfId="0" applyFont="1" applyBorder="1" applyAlignment="1">
      <alignment horizontal="left"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1" fillId="0" borderId="1" xfId="0" applyFont="1" applyBorder="1" applyAlignment="1">
      <alignment vertical="center"/>
    </xf>
    <xf numFmtId="49" fontId="31" fillId="0" borderId="1" xfId="0" applyNumberFormat="1" applyFont="1" applyBorder="1" applyAlignment="1">
      <alignment horizontal="left" vertical="center"/>
    </xf>
    <xf numFmtId="3"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66" fontId="36" fillId="0" borderId="1" xfId="0" applyNumberFormat="1" applyFont="1" applyBorder="1" applyAlignment="1">
      <alignment horizontal="center" vertical="center"/>
    </xf>
    <xf numFmtId="166" fontId="31" fillId="0" borderId="1" xfId="0" applyNumberFormat="1" applyFont="1" applyBorder="1" applyAlignment="1">
      <alignment horizontal="left" vertical="center"/>
    </xf>
    <xf numFmtId="14" fontId="31" fillId="0" borderId="1" xfId="0" applyNumberFormat="1" applyFont="1" applyBorder="1" applyAlignment="1">
      <alignment horizontal="center" vertical="center"/>
    </xf>
    <xf numFmtId="14" fontId="31" fillId="0" borderId="1" xfId="0" applyNumberFormat="1" applyFont="1" applyBorder="1" applyAlignment="1">
      <alignment vertical="center"/>
    </xf>
    <xf numFmtId="166" fontId="31" fillId="0" borderId="1" xfId="0" applyNumberFormat="1" applyFont="1" applyBorder="1" applyAlignment="1">
      <alignment vertical="center"/>
    </xf>
    <xf numFmtId="2" fontId="31" fillId="0" borderId="1" xfId="1" applyNumberFormat="1" applyFont="1" applyFill="1" applyBorder="1" applyAlignment="1">
      <alignment horizontal="left" vertical="center"/>
    </xf>
    <xf numFmtId="14" fontId="31" fillId="0" borderId="1" xfId="0" quotePrefix="1" applyNumberFormat="1" applyFont="1" applyBorder="1" applyAlignment="1">
      <alignment vertical="center"/>
    </xf>
    <xf numFmtId="0" fontId="31" fillId="0" borderId="1" xfId="1" applyFont="1" applyFill="1" applyBorder="1" applyAlignment="1">
      <alignment vertical="center"/>
    </xf>
    <xf numFmtId="0" fontId="31" fillId="0" borderId="1" xfId="1" applyFont="1" applyBorder="1" applyAlignment="1">
      <alignment vertical="center"/>
    </xf>
    <xf numFmtId="0" fontId="36" fillId="3" borderId="1" xfId="0" applyFont="1" applyFill="1" applyBorder="1" applyAlignment="1">
      <alignment vertical="center"/>
    </xf>
    <xf numFmtId="49" fontId="31" fillId="3" borderId="1" xfId="0" applyNumberFormat="1" applyFont="1" applyFill="1" applyBorder="1" applyAlignment="1">
      <alignment horizontal="left" vertical="center"/>
    </xf>
    <xf numFmtId="0" fontId="31" fillId="3" borderId="1" xfId="0" applyFont="1" applyFill="1" applyBorder="1" applyAlignment="1">
      <alignment horizontal="center" vertical="center"/>
    </xf>
    <xf numFmtId="49" fontId="31" fillId="3" borderId="1" xfId="0" applyNumberFormat="1" applyFont="1" applyFill="1" applyBorder="1" applyAlignment="1">
      <alignment horizontal="center" vertical="center"/>
    </xf>
    <xf numFmtId="166" fontId="31" fillId="3" borderId="1" xfId="0" applyNumberFormat="1" applyFont="1" applyFill="1" applyBorder="1" applyAlignment="1">
      <alignment horizontal="center" vertical="center"/>
    </xf>
    <xf numFmtId="166" fontId="36" fillId="3" borderId="1" xfId="0" applyNumberFormat="1" applyFont="1" applyFill="1" applyBorder="1" applyAlignment="1">
      <alignment horizontal="center" vertical="center"/>
    </xf>
    <xf numFmtId="14" fontId="31" fillId="3" borderId="1" xfId="0" applyNumberFormat="1" applyFont="1" applyFill="1" applyBorder="1" applyAlignment="1">
      <alignment horizontal="center" vertical="center"/>
    </xf>
    <xf numFmtId="14" fontId="31" fillId="3" borderId="1" xfId="0" applyNumberFormat="1" applyFont="1" applyFill="1" applyBorder="1" applyAlignment="1">
      <alignment vertical="center"/>
    </xf>
    <xf numFmtId="166" fontId="31" fillId="3" borderId="1" xfId="0" applyNumberFormat="1" applyFont="1" applyFill="1" applyBorder="1" applyAlignment="1">
      <alignment vertical="center"/>
    </xf>
    <xf numFmtId="2" fontId="31" fillId="3" borderId="1" xfId="0" applyNumberFormat="1" applyFont="1" applyFill="1" applyBorder="1" applyAlignment="1">
      <alignment horizontal="left" vertical="center"/>
    </xf>
    <xf numFmtId="14" fontId="31" fillId="0" borderId="1" xfId="0" quotePrefix="1" applyNumberFormat="1" applyFont="1" applyBorder="1" applyAlignment="1">
      <alignment horizontal="center" vertical="center"/>
    </xf>
    <xf numFmtId="14" fontId="31" fillId="2" borderId="1" xfId="0" applyNumberFormat="1" applyFont="1" applyFill="1" applyBorder="1" applyAlignment="1">
      <alignment vertical="center"/>
    </xf>
    <xf numFmtId="0" fontId="37" fillId="0" borderId="0" xfId="0" applyFont="1"/>
    <xf numFmtId="0" fontId="20" fillId="3" borderId="1" xfId="0" applyFont="1" applyFill="1" applyBorder="1" applyAlignment="1">
      <alignmen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31" fillId="0" borderId="1" xfId="0" applyFont="1" applyBorder="1" applyAlignment="1">
      <alignment horizontal="left" vertical="center"/>
    </xf>
    <xf numFmtId="0" fontId="17" fillId="2" borderId="1" xfId="0" applyFont="1" applyFill="1" applyBorder="1" applyAlignment="1">
      <alignment horizontal="left" vertical="center"/>
    </xf>
    <xf numFmtId="3" fontId="20"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3" fontId="17" fillId="0" borderId="1" xfId="0" applyNumberFormat="1" applyFont="1" applyBorder="1" applyAlignment="1">
      <alignment horizontal="center" vertical="center"/>
    </xf>
    <xf numFmtId="0" fontId="38" fillId="0" borderId="0" xfId="0" applyFont="1"/>
    <xf numFmtId="0" fontId="31" fillId="3" borderId="1" xfId="0" applyFont="1" applyFill="1" applyBorder="1" applyAlignment="1">
      <alignment vertical="center"/>
    </xf>
    <xf numFmtId="2" fontId="20" fillId="3" borderId="1" xfId="0" applyNumberFormat="1" applyFont="1" applyFill="1" applyBorder="1" applyAlignment="1">
      <alignment horizontal="center" vertical="center"/>
    </xf>
    <xf numFmtId="165" fontId="17" fillId="0" borderId="1" xfId="0" applyNumberFormat="1" applyFont="1" applyBorder="1" applyAlignment="1">
      <alignment horizontal="right" vertical="center" wrapText="1"/>
    </xf>
    <xf numFmtId="0" fontId="17" fillId="0" borderId="1" xfId="0" quotePrefix="1" applyFont="1" applyBorder="1" applyAlignment="1">
      <alignment horizontal="center" vertical="center"/>
    </xf>
    <xf numFmtId="49" fontId="17" fillId="0" borderId="1" xfId="0" applyNumberFormat="1" applyFont="1" applyBorder="1" applyAlignment="1">
      <alignment horizontal="right" vertical="center"/>
    </xf>
    <xf numFmtId="4" fontId="20" fillId="3" borderId="1" xfId="0" applyNumberFormat="1" applyFont="1" applyFill="1" applyBorder="1" applyAlignment="1">
      <alignment horizontal="left" vertical="center"/>
    </xf>
    <xf numFmtId="1" fontId="20" fillId="3" borderId="1" xfId="0" applyNumberFormat="1" applyFont="1" applyFill="1" applyBorder="1" applyAlignment="1">
      <alignment horizontal="left" vertical="center"/>
    </xf>
    <xf numFmtId="49" fontId="20" fillId="3" borderId="1" xfId="0" applyNumberFormat="1" applyFont="1" applyFill="1" applyBorder="1" applyAlignment="1">
      <alignment horizontal="left" vertical="center"/>
    </xf>
    <xf numFmtId="0" fontId="25" fillId="0" borderId="1" xfId="0" applyFont="1" applyBorder="1" applyAlignment="1">
      <alignment horizontal="justify" vertical="center"/>
    </xf>
    <xf numFmtId="4" fontId="17" fillId="0" borderId="1" xfId="0" applyNumberFormat="1" applyFont="1" applyBorder="1" applyAlignment="1">
      <alignment horizontal="left" vertical="center"/>
    </xf>
    <xf numFmtId="0" fontId="25" fillId="0" borderId="1" xfId="0" applyFont="1" applyBorder="1" applyAlignment="1">
      <alignment horizontal="center" vertical="center" wrapText="1"/>
    </xf>
    <xf numFmtId="0" fontId="24" fillId="0" borderId="1" xfId="0" applyFont="1" applyBorder="1" applyAlignment="1">
      <alignment horizontal="justify" vertical="top" wrapText="1"/>
    </xf>
    <xf numFmtId="0" fontId="25" fillId="0" borderId="1" xfId="0" applyFont="1" applyBorder="1" applyAlignment="1">
      <alignment horizontal="justify" vertical="top" wrapText="1"/>
    </xf>
    <xf numFmtId="49" fontId="29" fillId="0" borderId="1" xfId="0" applyNumberFormat="1" applyFont="1" applyBorder="1" applyAlignment="1">
      <alignment horizontal="center" vertical="top" wrapText="1"/>
    </xf>
    <xf numFmtId="0" fontId="26" fillId="0" borderId="1" xfId="0" applyFont="1" applyBorder="1" applyAlignment="1">
      <alignment horizontal="left" vertical="top" wrapText="1" indent="1"/>
    </xf>
    <xf numFmtId="0" fontId="25" fillId="0" borderId="1" xfId="0" applyFont="1" applyBorder="1" applyAlignment="1">
      <alignment horizontal="center" vertical="top" wrapText="1"/>
    </xf>
    <xf numFmtId="49" fontId="29" fillId="0" borderId="1" xfId="0" applyNumberFormat="1" applyFont="1" applyBorder="1" applyAlignment="1">
      <alignment vertical="top" wrapText="1"/>
    </xf>
    <xf numFmtId="0" fontId="30" fillId="0" borderId="1" xfId="0" applyFont="1" applyBorder="1" applyAlignment="1">
      <alignment horizontal="justify" vertical="top" wrapText="1"/>
    </xf>
    <xf numFmtId="0" fontId="25" fillId="0" borderId="1" xfId="0" applyFont="1" applyBorder="1" applyAlignment="1">
      <alignment vertical="top" wrapText="1"/>
    </xf>
    <xf numFmtId="0" fontId="27" fillId="0" borderId="1" xfId="0" applyFont="1" applyBorder="1" applyAlignment="1">
      <alignment horizontal="justify" vertical="top" wrapText="1"/>
    </xf>
    <xf numFmtId="0" fontId="35" fillId="0" borderId="1" xfId="0" applyFont="1" applyBorder="1" applyAlignment="1">
      <alignment horizontal="left" vertical="center"/>
    </xf>
    <xf numFmtId="165" fontId="31" fillId="0" borderId="1" xfId="0" applyNumberFormat="1" applyFont="1" applyBorder="1" applyAlignment="1">
      <alignment horizontal="right" vertical="center"/>
    </xf>
    <xf numFmtId="14" fontId="31" fillId="2" borderId="1" xfId="0" applyNumberFormat="1" applyFont="1" applyFill="1" applyBorder="1" applyAlignment="1">
      <alignment horizontal="center" vertical="center"/>
    </xf>
    <xf numFmtId="0" fontId="31" fillId="3" borderId="1" xfId="0" applyFont="1" applyFill="1" applyBorder="1" applyAlignment="1">
      <alignment horizontal="left" vertical="center"/>
    </xf>
    <xf numFmtId="165" fontId="31" fillId="3" borderId="1" xfId="0" applyNumberFormat="1" applyFont="1" applyFill="1" applyBorder="1" applyAlignment="1">
      <alignment horizontal="center" vertical="center"/>
    </xf>
    <xf numFmtId="166" fontId="31" fillId="0" borderId="1" xfId="0" applyNumberFormat="1" applyFont="1" applyBorder="1" applyAlignment="1">
      <alignment horizontal="center" vertical="center"/>
    </xf>
    <xf numFmtId="2" fontId="31" fillId="2" borderId="1" xfId="1" applyNumberFormat="1" applyFont="1" applyFill="1" applyBorder="1" applyAlignment="1">
      <alignment horizontal="left" vertical="center"/>
    </xf>
    <xf numFmtId="0" fontId="36" fillId="0" borderId="0" xfId="0" applyFont="1" applyAlignment="1">
      <alignment horizontal="center"/>
    </xf>
    <xf numFmtId="14" fontId="31" fillId="0" borderId="1" xfId="0" applyNumberFormat="1" applyFont="1" applyBorder="1" applyAlignment="1">
      <alignment horizontal="left" vertical="center"/>
    </xf>
    <xf numFmtId="14" fontId="31" fillId="0" borderId="1" xfId="0" quotePrefix="1" applyNumberFormat="1" applyFont="1" applyBorder="1" applyAlignment="1">
      <alignment horizontal="left" vertical="center"/>
    </xf>
    <xf numFmtId="14" fontId="39" fillId="0" borderId="0" xfId="0" applyNumberFormat="1" applyFont="1"/>
    <xf numFmtId="165" fontId="39" fillId="0" borderId="0" xfId="0" applyNumberFormat="1" applyFont="1"/>
    <xf numFmtId="0" fontId="17" fillId="0" borderId="1" xfId="1" applyNumberFormat="1"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xf>
    <xf numFmtId="0" fontId="10" fillId="0" borderId="0" xfId="0" applyFont="1" applyAlignment="1">
      <alignment vertical="center"/>
    </xf>
    <xf numFmtId="0" fontId="21" fillId="0" borderId="0" xfId="0" applyFont="1" applyAlignment="1">
      <alignment vertical="center"/>
    </xf>
    <xf numFmtId="4" fontId="28" fillId="0" borderId="0" xfId="0" applyNumberFormat="1" applyFont="1" applyAlignment="1">
      <alignment vertical="center"/>
    </xf>
    <xf numFmtId="0" fontId="34" fillId="0" borderId="0" xfId="0" applyFont="1" applyAlignment="1">
      <alignment vertical="center"/>
    </xf>
    <xf numFmtId="165" fontId="15" fillId="0" borderId="0" xfId="0" applyNumberFormat="1" applyFont="1" applyAlignment="1">
      <alignment vertical="center"/>
    </xf>
    <xf numFmtId="165" fontId="36" fillId="0" borderId="1" xfId="0" applyNumberFormat="1" applyFont="1" applyBorder="1" applyAlignment="1">
      <alignment horizontal="center" vertical="center"/>
    </xf>
    <xf numFmtId="165" fontId="0" fillId="0" borderId="0" xfId="0" applyNumberFormat="1" applyAlignment="1">
      <alignment vertical="center"/>
    </xf>
    <xf numFmtId="165" fontId="10" fillId="0" borderId="0" xfId="0" applyNumberFormat="1" applyFont="1" applyAlignment="1">
      <alignment vertical="center"/>
    </xf>
    <xf numFmtId="165" fontId="17" fillId="0" borderId="1" xfId="0" quotePrefix="1" applyNumberFormat="1" applyFont="1" applyBorder="1" applyAlignment="1">
      <alignment horizontal="right" vertical="center"/>
    </xf>
    <xf numFmtId="14" fontId="39" fillId="0" borderId="0" xfId="0" applyNumberFormat="1" applyFont="1" applyAlignment="1">
      <alignment horizontal="right"/>
    </xf>
    <xf numFmtId="165" fontId="39" fillId="0" borderId="0" xfId="0" applyNumberFormat="1" applyFont="1" applyAlignment="1">
      <alignment horizontal="right"/>
    </xf>
    <xf numFmtId="49" fontId="20" fillId="3" borderId="1" xfId="0" applyNumberFormat="1" applyFont="1" applyFill="1" applyBorder="1" applyAlignment="1">
      <alignment horizontal="right" vertical="center"/>
    </xf>
    <xf numFmtId="165" fontId="17" fillId="4" borderId="1" xfId="0" applyNumberFormat="1" applyFont="1" applyFill="1" applyBorder="1" applyAlignment="1">
      <alignment horizontal="right" vertical="center"/>
    </xf>
    <xf numFmtId="0" fontId="31"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165" fontId="20" fillId="0" borderId="0" xfId="0" applyNumberFormat="1" applyFont="1" applyAlignment="1">
      <alignment horizontal="center" vertical="center"/>
    </xf>
    <xf numFmtId="14" fontId="17" fillId="0" borderId="0" xfId="0" applyNumberFormat="1" applyFont="1" applyAlignment="1">
      <alignment horizontal="left" vertical="center"/>
    </xf>
    <xf numFmtId="165" fontId="17" fillId="0" borderId="0" xfId="0" applyNumberFormat="1" applyFont="1" applyAlignment="1">
      <alignment horizontal="right" vertical="center"/>
    </xf>
    <xf numFmtId="165" fontId="17" fillId="0" borderId="0" xfId="0" applyNumberFormat="1" applyFont="1" applyAlignment="1">
      <alignment horizontal="left" vertical="center"/>
    </xf>
    <xf numFmtId="165" fontId="31" fillId="0" borderId="1" xfId="5" applyNumberFormat="1" applyFont="1" applyFill="1" applyBorder="1" applyAlignment="1">
      <alignment horizontal="center" vertical="center"/>
    </xf>
    <xf numFmtId="0" fontId="40" fillId="0" borderId="0" xfId="0" applyFont="1" applyAlignment="1">
      <alignment horizontal="left" vertical="center"/>
    </xf>
    <xf numFmtId="4" fontId="41" fillId="0" borderId="0" xfId="0" applyNumberFormat="1" applyFont="1"/>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17" fillId="0" borderId="0" xfId="0" applyFont="1" applyAlignment="1">
      <alignment horizontal="left" wrapText="1"/>
    </xf>
    <xf numFmtId="0" fontId="17" fillId="2" borderId="2" xfId="0" applyFont="1" applyFill="1" applyBorder="1" applyAlignment="1">
      <alignment horizontal="left" vertical="center"/>
    </xf>
    <xf numFmtId="0" fontId="17" fillId="2" borderId="2" xfId="0" applyFont="1" applyFill="1" applyBorder="1" applyAlignment="1">
      <alignment horizontal="center" vertical="center"/>
    </xf>
    <xf numFmtId="0" fontId="17" fillId="0" borderId="2" xfId="0" applyFont="1" applyBorder="1" applyAlignment="1">
      <alignment horizontal="left"/>
    </xf>
    <xf numFmtId="49" fontId="36" fillId="2" borderId="1" xfId="0" applyNumberFormat="1" applyFont="1" applyFill="1" applyBorder="1" applyAlignment="1">
      <alignment horizontal="center" vertical="center" wrapText="1"/>
    </xf>
    <xf numFmtId="0" fontId="42" fillId="2" borderId="1" xfId="0" applyFont="1" applyFill="1" applyBorder="1" applyAlignment="1">
      <alignment horizontal="left" vertical="center" wrapText="1"/>
    </xf>
    <xf numFmtId="0" fontId="0" fillId="3" borderId="1" xfId="0" applyFill="1" applyBorder="1"/>
    <xf numFmtId="0" fontId="0" fillId="0" borderId="1" xfId="0" applyBorder="1" applyAlignment="1">
      <alignment horizontal="left" vertical="center"/>
    </xf>
    <xf numFmtId="0" fontId="0" fillId="3" borderId="1" xfId="0" applyFill="1" applyBorder="1" applyAlignment="1">
      <alignment horizontal="left" vertical="center"/>
    </xf>
    <xf numFmtId="0" fontId="40" fillId="0" borderId="0" xfId="0" applyFont="1" applyAlignment="1">
      <alignment horizontal="left"/>
    </xf>
    <xf numFmtId="0" fontId="40" fillId="0" borderId="0" xfId="0" applyFont="1" applyAlignment="1">
      <alignment vertical="center"/>
    </xf>
    <xf numFmtId="165" fontId="40" fillId="0" borderId="0" xfId="0" applyNumberFormat="1" applyFont="1" applyAlignment="1">
      <alignment horizontal="left" vertical="center"/>
    </xf>
    <xf numFmtId="0" fontId="40" fillId="0" borderId="0" xfId="0" applyFont="1"/>
    <xf numFmtId="0" fontId="43" fillId="0" borderId="0" xfId="1" applyFont="1" applyBorder="1"/>
    <xf numFmtId="0" fontId="20" fillId="2" borderId="0" xfId="0" applyFont="1" applyFill="1" applyAlignment="1">
      <alignment horizontal="left" vertical="center"/>
    </xf>
    <xf numFmtId="49" fontId="40" fillId="0" borderId="0" xfId="0" applyNumberFormat="1" applyFont="1" applyAlignment="1">
      <alignment horizontal="left" vertical="center"/>
    </xf>
    <xf numFmtId="165" fontId="40" fillId="0" borderId="3" xfId="0" applyNumberFormat="1" applyFont="1" applyBorder="1" applyAlignment="1">
      <alignment horizontal="left" vertical="center"/>
    </xf>
    <xf numFmtId="0" fontId="0" fillId="0" borderId="1" xfId="0" applyBorder="1" applyAlignment="1">
      <alignment vertical="center"/>
    </xf>
    <xf numFmtId="165" fontId="17" fillId="0" borderId="1" xfId="0" applyNumberFormat="1" applyFont="1" applyBorder="1" applyAlignment="1">
      <alignment horizontal="center" vertical="center"/>
    </xf>
    <xf numFmtId="165" fontId="17" fillId="3" borderId="1" xfId="0" applyNumberFormat="1" applyFont="1" applyFill="1" applyBorder="1" applyAlignment="1">
      <alignment horizontal="center" vertical="center"/>
    </xf>
    <xf numFmtId="0" fontId="19" fillId="0" borderId="0" xfId="0" applyFont="1" applyAlignment="1">
      <alignment horizontal="center" vertical="center"/>
    </xf>
    <xf numFmtId="4" fontId="19" fillId="0" borderId="0" xfId="0" applyNumberFormat="1" applyFont="1" applyAlignment="1">
      <alignment horizontal="center" vertical="center"/>
    </xf>
    <xf numFmtId="0" fontId="19" fillId="0" borderId="0" xfId="0" applyFont="1" applyAlignment="1">
      <alignment horizontal="left"/>
    </xf>
    <xf numFmtId="4" fontId="19" fillId="0" borderId="0" xfId="0" applyNumberFormat="1" applyFont="1" applyAlignment="1">
      <alignment horizontal="left"/>
    </xf>
    <xf numFmtId="3" fontId="17" fillId="3"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xf>
    <xf numFmtId="0" fontId="17" fillId="3" borderId="1" xfId="0" applyFont="1" applyFill="1" applyBorder="1" applyAlignment="1">
      <alignment horizontal="right" vertical="center"/>
    </xf>
    <xf numFmtId="0" fontId="19" fillId="0" borderId="0" xfId="0" applyFont="1" applyAlignment="1">
      <alignment horizontal="right" vertical="center"/>
    </xf>
    <xf numFmtId="4" fontId="19" fillId="0" borderId="0" xfId="0" applyNumberFormat="1" applyFont="1" applyAlignment="1">
      <alignment horizontal="right" vertical="center"/>
    </xf>
    <xf numFmtId="0" fontId="17" fillId="0" borderId="0" xfId="0" applyFont="1" applyAlignment="1">
      <alignment wrapText="1"/>
    </xf>
    <xf numFmtId="0" fontId="17" fillId="0" borderId="2" xfId="0" applyFont="1" applyBorder="1"/>
    <xf numFmtId="49" fontId="17" fillId="0" borderId="1" xfId="0" applyNumberFormat="1" applyFont="1" applyBorder="1" applyAlignment="1">
      <alignment vertical="center"/>
    </xf>
    <xf numFmtId="49" fontId="31" fillId="0" borderId="1" xfId="0" applyNumberFormat="1" applyFont="1" applyBorder="1" applyAlignment="1">
      <alignment vertical="center"/>
    </xf>
    <xf numFmtId="49" fontId="17" fillId="0" borderId="0" xfId="0" applyNumberFormat="1" applyFont="1" applyAlignment="1">
      <alignment vertical="center"/>
    </xf>
    <xf numFmtId="165" fontId="0" fillId="0" borderId="0" xfId="0" applyNumberFormat="1"/>
    <xf numFmtId="165" fontId="12" fillId="0" borderId="0" xfId="0" applyNumberFormat="1" applyFont="1"/>
    <xf numFmtId="49" fontId="12" fillId="0" borderId="0" xfId="0" applyNumberFormat="1" applyFont="1"/>
    <xf numFmtId="3" fontId="20" fillId="3" borderId="1" xfId="0" applyNumberFormat="1" applyFont="1" applyFill="1" applyBorder="1" applyAlignment="1">
      <alignment horizontal="left" vertical="center"/>
    </xf>
    <xf numFmtId="0" fontId="14" fillId="0" borderId="0" xfId="0" applyFont="1" applyAlignment="1">
      <alignment horizontal="left"/>
    </xf>
    <xf numFmtId="165" fontId="14" fillId="0" borderId="0" xfId="0" applyNumberFormat="1" applyFont="1" applyAlignment="1">
      <alignment horizontal="left"/>
    </xf>
    <xf numFmtId="4" fontId="14" fillId="0" borderId="0" xfId="0" applyNumberFormat="1" applyFont="1" applyAlignment="1">
      <alignment horizontal="left"/>
    </xf>
    <xf numFmtId="0" fontId="17" fillId="0" borderId="0" xfId="0" applyFont="1" applyAlignment="1">
      <alignment horizontal="left" vertical="center"/>
    </xf>
    <xf numFmtId="165" fontId="21" fillId="0" borderId="0" xfId="0" applyNumberFormat="1" applyFont="1" applyAlignment="1">
      <alignment vertical="center"/>
    </xf>
    <xf numFmtId="166" fontId="44" fillId="0" borderId="1" xfId="3" applyNumberFormat="1" applyFont="1" applyBorder="1" applyAlignment="1">
      <alignment horizontal="center" vertical="center"/>
    </xf>
    <xf numFmtId="166" fontId="36" fillId="0" borderId="1"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29" fillId="0" borderId="4" xfId="0" applyNumberFormat="1" applyFont="1" applyBorder="1" applyAlignment="1">
      <alignment horizontal="center" vertical="top" wrapText="1"/>
    </xf>
    <xf numFmtId="49" fontId="29" fillId="0" borderId="3" xfId="0" applyNumberFormat="1" applyFont="1" applyBorder="1" applyAlignment="1">
      <alignment horizontal="center" vertical="top" wrapText="1"/>
    </xf>
    <xf numFmtId="49" fontId="29" fillId="0" borderId="5" xfId="0" applyNumberFormat="1" applyFont="1" applyBorder="1" applyAlignment="1">
      <alignment horizontal="center" vertical="top" wrapText="1"/>
    </xf>
    <xf numFmtId="0" fontId="25" fillId="0" borderId="1" xfId="0" applyFont="1" applyBorder="1" applyAlignment="1">
      <alignment horizontal="center" vertical="top" wrapText="1"/>
    </xf>
    <xf numFmtId="49" fontId="29" fillId="0" borderId="1" xfId="0" applyNumberFormat="1" applyFont="1" applyBorder="1" applyAlignment="1">
      <alignment horizontal="center" vertical="top" wrapText="1"/>
    </xf>
    <xf numFmtId="0" fontId="24" fillId="0" borderId="1" xfId="0" applyFont="1" applyBorder="1" applyAlignment="1">
      <alignment horizontal="center" vertical="top" wrapText="1"/>
    </xf>
    <xf numFmtId="49" fontId="24" fillId="0" borderId="0" xfId="0" applyNumberFormat="1" applyFont="1" applyAlignment="1">
      <alignment horizontal="center" vertical="center"/>
    </xf>
    <xf numFmtId="0" fontId="24" fillId="0" borderId="0" xfId="0" applyFont="1" applyAlignment="1">
      <alignment horizontal="center" vertical="center"/>
    </xf>
    <xf numFmtId="49"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6"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wrapText="1"/>
    </xf>
    <xf numFmtId="0" fontId="0" fillId="0" borderId="0" xfId="0" applyAlignment="1">
      <alignment vertical="center" wrapText="1"/>
    </xf>
    <xf numFmtId="0" fontId="17" fillId="0" borderId="1" xfId="0" applyFont="1" applyBorder="1" applyAlignment="1">
      <alignment horizontal="center" vertical="center"/>
    </xf>
    <xf numFmtId="0" fontId="0" fillId="0" borderId="0" xfId="0" applyAlignment="1">
      <alignment horizontal="left"/>
    </xf>
    <xf numFmtId="0" fontId="17" fillId="0" borderId="0" xfId="0" applyFont="1" applyAlignment="1">
      <alignment horizontal="left" vertical="center"/>
    </xf>
    <xf numFmtId="0" fontId="0" fillId="0" borderId="0" xfId="0"/>
    <xf numFmtId="14" fontId="17"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0" fillId="2" borderId="1"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14" fontId="17" fillId="0" borderId="1" xfId="0" applyNumberFormat="1" applyFont="1" applyBorder="1" applyAlignment="1">
      <alignment horizontal="center" vertical="center" wrapText="1"/>
    </xf>
    <xf numFmtId="14" fontId="17" fillId="2" borderId="1" xfId="0" applyNumberFormat="1" applyFont="1" applyFill="1" applyBorder="1" applyAlignment="1">
      <alignment horizontal="right" vertical="center" wrapText="1"/>
    </xf>
    <xf numFmtId="0" fontId="0" fillId="0" borderId="1" xfId="0" applyBorder="1" applyAlignment="1">
      <alignment horizontal="right" vertical="center" wrapText="1"/>
    </xf>
    <xf numFmtId="165" fontId="17" fillId="0" borderId="1" xfId="0" applyNumberFormat="1" applyFon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right" vertical="center"/>
    </xf>
    <xf numFmtId="4" fontId="17" fillId="2" borderId="1" xfId="0" applyNumberFormat="1" applyFont="1" applyFill="1" applyBorder="1" applyAlignment="1">
      <alignment horizontal="center" vertical="center" wrapText="1"/>
    </xf>
    <xf numFmtId="0" fontId="20" fillId="0" borderId="0" xfId="0" applyFont="1" applyAlignment="1">
      <alignment horizontal="right" vertical="center" wrapText="1"/>
    </xf>
    <xf numFmtId="0" fontId="17"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xf numFmtId="49" fontId="17" fillId="0" borderId="1" xfId="0" applyNumberFormat="1" applyFont="1" applyBorder="1" applyAlignment="1">
      <alignment horizontal="center" vertical="center" wrapText="1"/>
    </xf>
    <xf numFmtId="9" fontId="17" fillId="2" borderId="1"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cellXfs>
  <cellStyles count="6">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minfin.75.ru/byudzhet/konsolidirovannyy-kraevoy-byudzhet/zakony-o-byudzhete" TargetMode="External"/><Relationship Id="rId21" Type="http://schemas.openxmlformats.org/officeDocument/2006/relationships/hyperlink" Target="http://ufo.ulntc.ru/index.php?mgf=budget/open_budget&amp;slep=net" TargetMode="External"/><Relationship Id="rId42" Type="http://schemas.openxmlformats.org/officeDocument/2006/relationships/hyperlink" Target="https://fin.smolensk.ru/open/ob/g2023/" TargetMode="External"/><Relationship Id="rId47" Type="http://schemas.openxmlformats.org/officeDocument/2006/relationships/hyperlink" Target="https://df.gov35.ru/otkrytyy-byudzhet/zakony-ob-oblastnom-byudzhete/2023/index.php?ELEMENT_ID=15862" TargetMode="External"/><Relationship Id="rId63" Type="http://schemas.openxmlformats.org/officeDocument/2006/relationships/hyperlink" Target="https://www.mfur.ru/budjet/formirovanie/2023-god.php" TargetMode="External"/><Relationship Id="rId68" Type="http://schemas.openxmlformats.org/officeDocument/2006/relationships/hyperlink" Target="http://ufo.ulntc.ru:8080/dokumenty/utverzhdennyj-zakon-o-byudzhete/2023-god" TargetMode="External"/><Relationship Id="rId84" Type="http://schemas.openxmlformats.org/officeDocument/2006/relationships/hyperlink" Target="https://openbudget.49gov.ru/dokumenty" TargetMode="External"/><Relationship Id="rId89" Type="http://schemas.openxmlformats.org/officeDocument/2006/relationships/hyperlink" Target="https://minfin.novreg.ru/2023-god-prinyatye-oblastnye-zakony.html" TargetMode="External"/><Relationship Id="rId16" Type="http://schemas.openxmlformats.org/officeDocument/2006/relationships/hyperlink" Target="http://dfei.adm-nao.ru/zakony-o-byudzhete/" TargetMode="External"/><Relationship Id="rId11" Type="http://schemas.openxmlformats.org/officeDocument/2006/relationships/hyperlink" Target="https://www.mos.ru/findep/" TargetMode="External"/><Relationship Id="rId32" Type="http://schemas.openxmlformats.org/officeDocument/2006/relationships/hyperlink" Target="https://minfin.ryazangov.ru/documents/documents_RO/zakony-ob-oblastnom-byudzhete-ryazanskoy-oblasti/index.php" TargetMode="External"/><Relationship Id="rId37" Type="http://schemas.openxmlformats.org/officeDocument/2006/relationships/hyperlink" Target="https://irkobl.ru/sites/minfin/activity/obl/" TargetMode="External"/><Relationship Id="rId53" Type="http://schemas.openxmlformats.org/officeDocument/2006/relationships/hyperlink" Target="https://minfin.krasnodar.ru/activity/byudzhet/zakony-o-kraevom-byudzhete/year-2023" TargetMode="External"/><Relationship Id="rId58" Type="http://schemas.openxmlformats.org/officeDocument/2006/relationships/hyperlink" Target="http://minfin.alania.gov.ru/pages/856" TargetMode="External"/><Relationship Id="rId74" Type="http://schemas.openxmlformats.org/officeDocument/2006/relationships/hyperlink" Target="https://r-19.ru/authorities/ministry-of-finance-of-the-republic-of-khakassia/docs/9037/139874.html" TargetMode="External"/><Relationship Id="rId79" Type="http://schemas.openxmlformats.org/officeDocument/2006/relationships/hyperlink" Target="https://egov-buryatia.ru/minfin/activities/directions/respublikanskiy-byudzhet/2023-2025-gg/zakony-o-byudzhete.php" TargetMode="External"/><Relationship Id="rId5" Type="http://schemas.openxmlformats.org/officeDocument/2006/relationships/hyperlink" Target="http://ufin48.ru/Show/Tag/&#1041;&#1102;&#1076;&#1078;&#1077;&#1090;" TargetMode="External"/><Relationship Id="rId90" Type="http://schemas.openxmlformats.org/officeDocument/2006/relationships/hyperlink" Target="https://budget.rk.ifinmon.ru/dokumenty/zakon-o-byudzhete" TargetMode="External"/><Relationship Id="rId95" Type="http://schemas.openxmlformats.org/officeDocument/2006/relationships/hyperlink" Target="https://budget.permkrai.ru/budget/indicators2023" TargetMode="External"/><Relationship Id="rId22" Type="http://schemas.openxmlformats.org/officeDocument/2006/relationships/hyperlink" Target="https://minfin.midural.ru/document/category/20%20-%20document_list" TargetMode="External"/><Relationship Id="rId27" Type="http://schemas.openxmlformats.org/officeDocument/2006/relationships/hyperlink" Target="https://primorsky.ru/authorities/executive-agencies/departments/finance/laws.php" TargetMode="External"/><Relationship Id="rId43" Type="http://schemas.openxmlformats.org/officeDocument/2006/relationships/hyperlink" Target="https://portal.tverfin.ru/Menu/Page/645" TargetMode="External"/><Relationship Id="rId48" Type="http://schemas.openxmlformats.org/officeDocument/2006/relationships/hyperlink" Target="https://finance.lenobl.ru/ru/pravovaya-baza/oblastnoe-zakondatelstvo/byudzhet-lo/ob2023/" TargetMode="External"/><Relationship Id="rId64" Type="http://schemas.openxmlformats.org/officeDocument/2006/relationships/hyperlink" Target="https://minfin.cap.ru/action/activity/byudzhet/respublikanskij-byudzhet-chuvashskoj-respubliki/2023-god/zakon-chuvashskoj-respubliki-ot-25-noyabrya-2021-g" TargetMode="External"/><Relationship Id="rId69" Type="http://schemas.openxmlformats.org/officeDocument/2006/relationships/hyperlink" Target="http://www.finupr.kurganobl.ru/index.php?test=bud23" TargetMode="External"/><Relationship Id="rId80" Type="http://schemas.openxmlformats.org/officeDocument/2006/relationships/hyperlink" Target="https://minfin.sakha.gov.ru/zakony-o-bjudzhete/2023-2025-gg" TargetMode="External"/><Relationship Id="rId85" Type="http://schemas.openxmlformats.org/officeDocument/2006/relationships/hyperlink" Target="https://openbudget.sakhminfin.ru/Menu/Page/611" TargetMode="External"/><Relationship Id="rId3" Type="http://schemas.openxmlformats.org/officeDocument/2006/relationships/hyperlink" Target="https://df.ivanovoobl.ru/regionalnye-finansy/zakon-ob-oblastnom-byudzhete/" TargetMode="External"/><Relationship Id="rId12" Type="http://schemas.openxmlformats.org/officeDocument/2006/relationships/hyperlink" Target="https://dvinaland.ru/budget/zakon/" TargetMode="External"/><Relationship Id="rId17" Type="http://schemas.openxmlformats.org/officeDocument/2006/relationships/hyperlink" Target="http://minfinrd.ru/svedeniya_ob_ispolzovanii_vydelyaemykh_byudzhetnykh_sredstv" TargetMode="External"/><Relationship Id="rId25" Type="http://schemas.openxmlformats.org/officeDocument/2006/relationships/hyperlink" Target="http://mfnso.nso.ru/page/3777" TargetMode="External"/><Relationship Id="rId33" Type="http://schemas.openxmlformats.org/officeDocument/2006/relationships/hyperlink" Target="http://minfin09.ru/category/load/%d0%b1%d1%8e%d0%b4%d0%b6%d0%b5%d1%82-%d1%80%d0%b5%d1%81%d0%bf%d1%83%d0%b1%d0%bb%d0%b8%d0%ba%d0%b8/2021/" TargetMode="External"/><Relationship Id="rId38" Type="http://schemas.openxmlformats.org/officeDocument/2006/relationships/hyperlink" Target="http://beldepfin.ru/dokumenty/vse-dokumenty/zakon-belgorodskoj-oblasti-ot-23-dekabrya-20222912/" TargetMode="External"/><Relationship Id="rId46" Type="http://schemas.openxmlformats.org/officeDocument/2006/relationships/hyperlink" Target="https://minfin.rkomi.ru/deyatelnost/byudjet/zakony-respubliki-komi-proekty-zakonov-o-respublikanskom-byudjete-respubliki-komi-i-vnesenii-izmeneniy-v-nego/byudjet-na-2023-2025-gody" TargetMode="External"/><Relationship Id="rId59" Type="http://schemas.openxmlformats.org/officeDocument/2006/relationships/hyperlink" Target="https://www.minfinchr.ru/deyatelnost/byudzhet/planirovanie-byudzheta" TargetMode="External"/><Relationship Id="rId67" Type="http://schemas.openxmlformats.org/officeDocument/2006/relationships/hyperlink" Target="https://minfin.saratov.gov.ru/budget/zakon-o-byudzhete/zakon-ob-oblastnom-byudzhete/zakon-ob-oblastnom-byudzhete-2023-2025-g" TargetMode="External"/><Relationship Id="rId20" Type="http://schemas.openxmlformats.org/officeDocument/2006/relationships/hyperlink" Target="http://finance.pnzreg.ru/docs/bpo/osnzakon.php" TargetMode="External"/><Relationship Id="rId41" Type="http://schemas.openxmlformats.org/officeDocument/2006/relationships/hyperlink" Target="https://kursk.ru/region/economy/page-153264/" TargetMode="External"/><Relationship Id="rId54" Type="http://schemas.openxmlformats.org/officeDocument/2006/relationships/hyperlink" Target="https://minfin.donland.ru/documents/active/196032/" TargetMode="External"/><Relationship Id="rId62" Type="http://schemas.openxmlformats.org/officeDocument/2006/relationships/hyperlink" Target="https://minfin.tatarstan.ru/byudzhet-2023.htm?pub_id=3492276" TargetMode="External"/><Relationship Id="rId70" Type="http://schemas.openxmlformats.org/officeDocument/2006/relationships/hyperlink" Target="https://admtyumen.ru/ogv_ru/finance/finance/bugjet/more.htm?id=11938559@cmsArticle" TargetMode="External"/><Relationship Id="rId75" Type="http://schemas.openxmlformats.org/officeDocument/2006/relationships/hyperlink" Target="https://minfin.alregn.ru/bud/z2023/" TargetMode="External"/><Relationship Id="rId83" Type="http://schemas.openxmlformats.org/officeDocument/2006/relationships/hyperlink" Target="http://ob.fin.amurobl.ru/dokumenty/zakon/pervon_redakcia/2023" TargetMode="External"/><Relationship Id="rId88" Type="http://schemas.openxmlformats.org/officeDocument/2006/relationships/hyperlink" Target="http://budget.orb.ru/" TargetMode="External"/><Relationship Id="rId91" Type="http://schemas.openxmlformats.org/officeDocument/2006/relationships/hyperlink" Target="https://minfin.astrobl.ru/napravleniya-deyatelnosti/zakony-o-biudzete-astraxanskoi-oblasti" TargetMode="External"/><Relationship Id="rId96" Type="http://schemas.openxmlformats.org/officeDocument/2006/relationships/hyperlink" Target="https://mf.orb.ru/activity/26541/" TargetMode="External"/><Relationship Id="rId1" Type="http://schemas.openxmlformats.org/officeDocument/2006/relationships/hyperlink" Target="http://dtf.avo.ru/zakony-vladimirskoj-oblasti" TargetMode="External"/><Relationship Id="rId6" Type="http://schemas.openxmlformats.org/officeDocument/2006/relationships/hyperlink" Target="http://mef.mosreg.ru/" TargetMode="External"/><Relationship Id="rId15" Type="http://schemas.openxmlformats.org/officeDocument/2006/relationships/hyperlink" Target="http://bks.pskov.ru/ebudget/Show/Category/10?ItemId=257" TargetMode="External"/><Relationship Id="rId23" Type="http://schemas.openxmlformats.org/officeDocument/2006/relationships/hyperlink" Target="https://minfin74.ru/minfin/activities/budget/law/2023-2025.htm" TargetMode="External"/><Relationship Id="rId28" Type="http://schemas.openxmlformats.org/officeDocument/2006/relationships/hyperlink" Target="https://www.fin.amurobl.ru/pages/normativno-pravovye-akty/regionalnyy-uroven/zakony-ao/" TargetMode="External"/><Relationship Id="rId36" Type="http://schemas.openxmlformats.org/officeDocument/2006/relationships/hyperlink" Target="http://saratov.gov.ru/gov/auth/minfin/" TargetMode="External"/><Relationship Id="rId49" Type="http://schemas.openxmlformats.org/officeDocument/2006/relationships/hyperlink" Target="https://fincom.gov.spb.ru/budget/info/acts/1" TargetMode="External"/><Relationship Id="rId57" Type="http://schemas.openxmlformats.org/officeDocument/2006/relationships/hyperlink" Target="https://minfin.kbr.ru/activity/byudzhet/" TargetMode="External"/><Relationship Id="rId10" Type="http://schemas.openxmlformats.org/officeDocument/2006/relationships/hyperlink" Target="https://www.yarregion.ru/depts/depfin/tmpPages/docs.aspx" TargetMode="External"/><Relationship Id="rId31" Type="http://schemas.openxmlformats.org/officeDocument/2006/relationships/hyperlink" Target="https://&#1095;&#1091;&#1082;&#1086;&#1090;&#1082;&#1072;.&#1088;&#1092;/depfin/about/struktura-i-sostav/upravlenie-finansov/napravleniya-raboty/okruzhnoy-byudzhet/zakon-na-ocherednoy-finansovyy-god-i-na-planovyy-period.php" TargetMode="External"/><Relationship Id="rId44" Type="http://schemas.openxmlformats.org/officeDocument/2006/relationships/hyperlink" Target="https://budget.mos.ru/budget" TargetMode="External"/><Relationship Id="rId52" Type="http://schemas.openxmlformats.org/officeDocument/2006/relationships/hyperlink" Target="https://minfin.rk.gov.ru/ru/structure/2022_12_16_20_01_zakon_respubliki_krym_o_biudzhete_respubliki_krym_na_2023_god_i_na_planovyi_period_2024_i_2025_godov_ot_15_12_2022_355_zrk_2022" TargetMode="External"/><Relationship Id="rId60" Type="http://schemas.openxmlformats.org/officeDocument/2006/relationships/hyperlink" Target="https://minfin.bashkortostan.ru/documents/active/461819/" TargetMode="External"/><Relationship Id="rId65" Type="http://schemas.openxmlformats.org/officeDocument/2006/relationships/hyperlink" Target="https://mfin.permkrai.ru/dokumenty/277348/" TargetMode="External"/><Relationship Id="rId73" Type="http://schemas.openxmlformats.org/officeDocument/2006/relationships/hyperlink" Target="https://minfin.rtyva.ru/node/23572/" TargetMode="External"/><Relationship Id="rId78" Type="http://schemas.openxmlformats.org/officeDocument/2006/relationships/hyperlink" Target="https://depfin.tomsk.gov.ru/documents/front/view/id/84619" TargetMode="External"/><Relationship Id="rId81" Type="http://schemas.openxmlformats.org/officeDocument/2006/relationships/hyperlink" Target="https://www.kamgov.ru/minfin/budzet-2023" TargetMode="External"/><Relationship Id="rId86" Type="http://schemas.openxmlformats.org/officeDocument/2006/relationships/hyperlink" Target="https://mari-el.gov.ru/ministries/minfin/pages/ZakRespORespBudg/" TargetMode="External"/><Relationship Id="rId94" Type="http://schemas.openxmlformats.org/officeDocument/2006/relationships/hyperlink" Target="https://budget.cap.ru/Show/Category/326?ItemId=1057" TargetMode="External"/><Relationship Id="rId4" Type="http://schemas.openxmlformats.org/officeDocument/2006/relationships/hyperlink" Target="http://budget.mosreg.ru/byudzhet-dlya-grazhdan/zakon-o-byudzhete-mo/" TargetMode="External"/><Relationship Id="rId9" Type="http://schemas.openxmlformats.org/officeDocument/2006/relationships/hyperlink" Target="https://minfin.tularegion.ru/documents/?SECTION=1579" TargetMode="External"/><Relationship Id="rId13" Type="http://schemas.openxmlformats.org/officeDocument/2006/relationships/hyperlink" Target="https://minfin39.ru/budget/process/current/" TargetMode="External"/><Relationship Id="rId18" Type="http://schemas.openxmlformats.org/officeDocument/2006/relationships/hyperlink" Target="http://www.mfsk.ru/law/z_sk" TargetMode="External"/><Relationship Id="rId39" Type="http://schemas.openxmlformats.org/officeDocument/2006/relationships/hyperlink" Target="https://www.govvrn.ru/npafin?p_p_id=Foldersanddocuments_WAR_foldersanddocumentsportlet&amp;p_p_lifecycle=0&amp;p_p_state=normal&amp;p_p_mode=view&amp;folderId=11117725" TargetMode="External"/><Relationship Id="rId34" Type="http://schemas.openxmlformats.org/officeDocument/2006/relationships/hyperlink" Target="http://forcitizens.ru/ob/dokumenty/zakon-o-byudzhete/2022-god" TargetMode="External"/><Relationship Id="rId50" Type="http://schemas.openxmlformats.org/officeDocument/2006/relationships/hyperlink" Target="http://minfin.kalmregion.ru/deyatelnost/byudzhet-respubliki-kalmykiya/" TargetMode="External"/><Relationship Id="rId55" Type="http://schemas.openxmlformats.org/officeDocument/2006/relationships/hyperlink" Target="https://fin.sev.gov.ru/pravovye-aktu/regionalnye-npa/regionalnye-npa-2021/" TargetMode="External"/><Relationship Id="rId76" Type="http://schemas.openxmlformats.org/officeDocument/2006/relationships/hyperlink" Target="https://www.ofukem.ru/budget/laws2022-2024/" TargetMode="External"/><Relationship Id="rId97" Type="http://schemas.openxmlformats.org/officeDocument/2006/relationships/hyperlink" Target="https://www.eao.ru/isp-vlast/departament-finansov-pravitelstva-evreyskoy-avtonomnoy-oblasti/byudzhet/" TargetMode="External"/><Relationship Id="rId7" Type="http://schemas.openxmlformats.org/officeDocument/2006/relationships/hyperlink" Target="https://orel-region.ru/index.php?head=20&amp;part=25&amp;in=131" TargetMode="External"/><Relationship Id="rId71" Type="http://schemas.openxmlformats.org/officeDocument/2006/relationships/hyperlink" Target="https://www.yamalfin.ru/index.php?option=com_content&amp;view=section&amp;id=53&amp;Itemid=156" TargetMode="External"/><Relationship Id="rId92" Type="http://schemas.openxmlformats.org/officeDocument/2006/relationships/hyperlink" Target="http://portal.minfinrd.ru/Menu/Page/1128" TargetMode="External"/><Relationship Id="rId2" Type="http://schemas.openxmlformats.org/officeDocument/2006/relationships/hyperlink" Target="http://www.tverfin.ru/np-baza/regionalnye-normativnye-pravovye-akty/" TargetMode="External"/><Relationship Id="rId29" Type="http://schemas.openxmlformats.org/officeDocument/2006/relationships/hyperlink" Target="https://minfin.49gov.ru/documents/" TargetMode="External"/><Relationship Id="rId24" Type="http://schemas.openxmlformats.org/officeDocument/2006/relationships/hyperlink" Target="http://minfin.krskstate.ru/openbudget/law" TargetMode="External"/><Relationship Id="rId40" Type="http://schemas.openxmlformats.org/officeDocument/2006/relationships/hyperlink" Target="https://depfin.kostroma.gov.ru/byudzhet/zakony-o-byudzhete/" TargetMode="External"/><Relationship Id="rId45" Type="http://schemas.openxmlformats.org/officeDocument/2006/relationships/hyperlink" Target="http://minfin.karelia.ru/2023-2025-gody/" TargetMode="External"/><Relationship Id="rId66" Type="http://schemas.openxmlformats.org/officeDocument/2006/relationships/hyperlink" Target="https://minfin-samara.ru/2023-2025/" TargetMode="External"/><Relationship Id="rId87" Type="http://schemas.openxmlformats.org/officeDocument/2006/relationships/hyperlink" Target="http://openbudget.gfu.ru/budget/law/" TargetMode="External"/><Relationship Id="rId61" Type="http://schemas.openxmlformats.org/officeDocument/2006/relationships/hyperlink" Target="https://www.minfinrm.ru/norm-akty-new/zakony/norm-prav-akty/budget-2022/" TargetMode="External"/><Relationship Id="rId82" Type="http://schemas.openxmlformats.org/officeDocument/2006/relationships/hyperlink" Target="https://minfin.khabkrai.ru/portal/Show/Category/34?ItemId=227" TargetMode="External"/><Relationship Id="rId19" Type="http://schemas.openxmlformats.org/officeDocument/2006/relationships/hyperlink" Target="http://mf.nnov.ru/index.php?option=com_k2&amp;view=item&amp;id=1509:zakony-ob-oblastnom-byudzhete-na-ocherednoj-finansovyj-god-i-na-planovyj-period&amp;Itemid=553" TargetMode="External"/><Relationship Id="rId14" Type="http://schemas.openxmlformats.org/officeDocument/2006/relationships/hyperlink" Target="https://minfin.gov-murman.ru/open-budget/regional_budget/law_of_budget/" TargetMode="External"/><Relationship Id="rId30" Type="http://schemas.openxmlformats.org/officeDocument/2006/relationships/hyperlink" Target="http://sakhminfin.ru/" TargetMode="External"/><Relationship Id="rId35" Type="http://schemas.openxmlformats.org/officeDocument/2006/relationships/hyperlink" Target="http://www.minfin.kirov.ru/otkrytyy-byudzhet/dlya-spetsialistov/oblastnoy-byudzhet/%d0%9f%d0%bb%d0%b0%d0%bd%d0%b8%d1%80%d0%be%d0%b2%d0%b0%d0%bd%d0%b8%d0%b5%20%d0%b1%d1%8e%d0%b4%d0%b6%d0%b5%d1%82%d0%b0/" TargetMode="External"/><Relationship Id="rId56" Type="http://schemas.openxmlformats.org/officeDocument/2006/relationships/hyperlink" Target="https://ob.sev.gov.ru/dokumenty/zakon-o-byudzhete/2023-i-planovyj-period-2024-2025-gg" TargetMode="External"/><Relationship Id="rId77" Type="http://schemas.openxmlformats.org/officeDocument/2006/relationships/hyperlink" Target="https://mf.omskportal.ru/oiv/mf/otrasl/otkrbudg/obl-budget/2023%E2%80%932025" TargetMode="External"/><Relationship Id="rId8" Type="http://schemas.openxmlformats.org/officeDocument/2006/relationships/hyperlink" Target="http://depfin.orel-region.ru:8096/ebudget/Menu/Page/36" TargetMode="External"/><Relationship Id="rId51" Type="http://schemas.openxmlformats.org/officeDocument/2006/relationships/hyperlink" Target="https://minfin01-maykop.ru/Show/Content/3561?ParentItemId=55" TargetMode="External"/><Relationship Id="rId72" Type="http://schemas.openxmlformats.org/officeDocument/2006/relationships/hyperlink" Target="https://www.minfin-altai.ru/deyatelnost/proekt-byudzheta-zakony-o-byudzhete-zakony-ob-ispolnenii-byudzheta/2023-2025/zakon-o-byudzhete/" TargetMode="External"/><Relationship Id="rId93" Type="http://schemas.openxmlformats.org/officeDocument/2006/relationships/hyperlink" Target="https://mfri.ru/index.php/open-budget/pervonachalno-utverzhdennyj-byudzhet" TargetMode="External"/><Relationship Id="rId98" Type="http://schemas.openxmlformats.org/officeDocument/2006/relationships/hyperlink" Target="https://bryanskoblfin.ru/open/Show/Content/2236?ParentItemId=27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8518C-6B6F-C54D-A2EA-F213C9F0A5DC}">
  <dimension ref="A1:I95"/>
  <sheetViews>
    <sheetView zoomScaleNormal="100" zoomScalePageLayoutView="80" workbookViewId="0">
      <pane ySplit="4" topLeftCell="A5" activePane="bottomLeft" state="frozen"/>
      <selection activeCell="G33" sqref="G33:G2385"/>
      <selection pane="bottomLeft"/>
    </sheetView>
  </sheetViews>
  <sheetFormatPr baseColWidth="10" defaultColWidth="8.83203125" defaultRowHeight="15"/>
  <cols>
    <col min="1" max="1" width="24.83203125" customWidth="1"/>
    <col min="2" max="3" width="12.83203125" customWidth="1"/>
    <col min="4" max="4" width="11.5" customWidth="1"/>
    <col min="5" max="5" width="20.83203125" customWidth="1"/>
    <col min="6" max="6" width="18.83203125" customWidth="1"/>
    <col min="7" max="7" width="20.83203125" customWidth="1"/>
    <col min="8" max="8" width="25.83203125" customWidth="1"/>
    <col min="9" max="9" width="28.83203125" customWidth="1"/>
  </cols>
  <sheetData>
    <row r="1" spans="1:9" ht="30" customHeight="1">
      <c r="A1" s="36" t="s">
        <v>664</v>
      </c>
      <c r="B1" s="37"/>
      <c r="C1" s="37"/>
      <c r="D1" s="37"/>
      <c r="E1" s="37"/>
      <c r="F1" s="37"/>
      <c r="G1" s="37"/>
      <c r="H1" s="37"/>
      <c r="I1" s="37"/>
    </row>
    <row r="2" spans="1:9" ht="16" customHeight="1">
      <c r="A2" s="38" t="s">
        <v>666</v>
      </c>
      <c r="B2" s="39"/>
      <c r="C2" s="39"/>
      <c r="D2" s="39"/>
      <c r="E2" s="39"/>
      <c r="F2" s="39"/>
      <c r="G2" s="39"/>
      <c r="H2" s="39"/>
      <c r="I2" s="39"/>
    </row>
    <row r="3" spans="1:9" ht="128" customHeight="1">
      <c r="A3" s="102" t="s">
        <v>659</v>
      </c>
      <c r="B3" s="103" t="s">
        <v>105</v>
      </c>
      <c r="C3" s="103" t="s">
        <v>103</v>
      </c>
      <c r="D3" s="103" t="s">
        <v>102</v>
      </c>
      <c r="E3" s="106" t="s">
        <v>430</v>
      </c>
      <c r="F3" s="106" t="s">
        <v>431</v>
      </c>
      <c r="G3" s="106" t="s">
        <v>432</v>
      </c>
      <c r="H3" s="106" t="s">
        <v>433</v>
      </c>
      <c r="I3" s="102" t="s">
        <v>434</v>
      </c>
    </row>
    <row r="4" spans="1:9" ht="16" customHeight="1">
      <c r="A4" s="34" t="s">
        <v>82</v>
      </c>
      <c r="B4" s="11" t="s">
        <v>104</v>
      </c>
      <c r="C4" s="11" t="s">
        <v>83</v>
      </c>
      <c r="D4" s="11" t="s">
        <v>83</v>
      </c>
      <c r="E4" s="10" t="s">
        <v>83</v>
      </c>
      <c r="F4" s="12" t="s">
        <v>83</v>
      </c>
      <c r="G4" s="12" t="s">
        <v>83</v>
      </c>
      <c r="H4" s="12" t="s">
        <v>83</v>
      </c>
      <c r="I4" s="12" t="s">
        <v>83</v>
      </c>
    </row>
    <row r="5" spans="1:9" s="9" customFormat="1" ht="15" customHeight="1">
      <c r="A5" s="35" t="s">
        <v>103</v>
      </c>
      <c r="B5" s="17"/>
      <c r="C5" s="17"/>
      <c r="D5" s="18">
        <f>SUM(E5:I5)</f>
        <v>12</v>
      </c>
      <c r="E5" s="19">
        <v>4</v>
      </c>
      <c r="F5" s="20">
        <v>2</v>
      </c>
      <c r="G5" s="20">
        <v>2</v>
      </c>
      <c r="H5" s="20">
        <v>2</v>
      </c>
      <c r="I5" s="20">
        <v>2</v>
      </c>
    </row>
    <row r="6" spans="1:9" s="9" customFormat="1" ht="15" customHeight="1">
      <c r="A6" s="162" t="s">
        <v>191</v>
      </c>
      <c r="B6" s="17"/>
      <c r="C6" s="17"/>
      <c r="D6" s="18"/>
      <c r="E6" s="19"/>
      <c r="F6" s="20"/>
      <c r="G6" s="20"/>
      <c r="H6" s="20"/>
      <c r="I6" s="20"/>
    </row>
    <row r="7" spans="1:9" ht="16" customHeight="1">
      <c r="A7" s="107" t="s">
        <v>2</v>
      </c>
      <c r="B7" s="15">
        <f t="shared" ref="B7:B38" si="0">ROUND(D7/C7*100,1)</f>
        <v>100</v>
      </c>
      <c r="C7" s="15">
        <f t="shared" ref="C7:C46" si="1">$D$5</f>
        <v>12</v>
      </c>
      <c r="D7" s="15">
        <f t="shared" ref="D7:D38" si="2">SUM(E7:I7)</f>
        <v>12</v>
      </c>
      <c r="E7" s="16">
        <f>'1.1'!F8</f>
        <v>4</v>
      </c>
      <c r="F7" s="13">
        <f>'1.2'!C8</f>
        <v>2</v>
      </c>
      <c r="G7" s="13">
        <f>'1.3'!C8</f>
        <v>2</v>
      </c>
      <c r="H7" s="13">
        <f>'1.4'!E9</f>
        <v>2</v>
      </c>
      <c r="I7" s="13">
        <f>'1.5'!E9</f>
        <v>2</v>
      </c>
    </row>
    <row r="8" spans="1:9" ht="16" customHeight="1">
      <c r="A8" s="107" t="s">
        <v>3</v>
      </c>
      <c r="B8" s="15">
        <f t="shared" si="0"/>
        <v>100</v>
      </c>
      <c r="C8" s="15">
        <f t="shared" si="1"/>
        <v>12</v>
      </c>
      <c r="D8" s="15">
        <f t="shared" si="2"/>
        <v>12</v>
      </c>
      <c r="E8" s="16">
        <f>'1.1'!F9</f>
        <v>4</v>
      </c>
      <c r="F8" s="13">
        <f>'1.2'!C9</f>
        <v>2</v>
      </c>
      <c r="G8" s="13">
        <f>'1.3'!C9</f>
        <v>2</v>
      </c>
      <c r="H8" s="13">
        <f>'1.4'!E10</f>
        <v>2</v>
      </c>
      <c r="I8" s="13">
        <f>'1.5'!E10</f>
        <v>2</v>
      </c>
    </row>
    <row r="9" spans="1:9" ht="16" customHeight="1">
      <c r="A9" s="107" t="s">
        <v>4</v>
      </c>
      <c r="B9" s="15">
        <f t="shared" si="0"/>
        <v>100</v>
      </c>
      <c r="C9" s="15">
        <f t="shared" si="1"/>
        <v>12</v>
      </c>
      <c r="D9" s="15">
        <f t="shared" si="2"/>
        <v>12</v>
      </c>
      <c r="E9" s="16">
        <f>'1.1'!F10</f>
        <v>4</v>
      </c>
      <c r="F9" s="13">
        <f>'1.2'!C10</f>
        <v>2</v>
      </c>
      <c r="G9" s="13">
        <f>'1.3'!C10</f>
        <v>2</v>
      </c>
      <c r="H9" s="13">
        <f>'1.4'!E11</f>
        <v>2</v>
      </c>
      <c r="I9" s="13">
        <f>'1.5'!E11</f>
        <v>2</v>
      </c>
    </row>
    <row r="10" spans="1:9" ht="16" customHeight="1">
      <c r="A10" s="107" t="s">
        <v>5</v>
      </c>
      <c r="B10" s="15">
        <f t="shared" si="0"/>
        <v>100</v>
      </c>
      <c r="C10" s="15">
        <f t="shared" si="1"/>
        <v>12</v>
      </c>
      <c r="D10" s="15">
        <f t="shared" si="2"/>
        <v>12</v>
      </c>
      <c r="E10" s="16">
        <f>'1.1'!F11</f>
        <v>4</v>
      </c>
      <c r="F10" s="13">
        <f>'1.2'!C11</f>
        <v>2</v>
      </c>
      <c r="G10" s="13">
        <f>'1.3'!C11</f>
        <v>2</v>
      </c>
      <c r="H10" s="13">
        <f>'1.4'!E12</f>
        <v>2</v>
      </c>
      <c r="I10" s="13">
        <f>'1.5'!E12</f>
        <v>2</v>
      </c>
    </row>
    <row r="11" spans="1:9" ht="16" customHeight="1">
      <c r="A11" s="107" t="s">
        <v>6</v>
      </c>
      <c r="B11" s="15">
        <f t="shared" si="0"/>
        <v>100</v>
      </c>
      <c r="C11" s="15">
        <f t="shared" si="1"/>
        <v>12</v>
      </c>
      <c r="D11" s="15">
        <f t="shared" si="2"/>
        <v>12</v>
      </c>
      <c r="E11" s="16">
        <f>'1.1'!F12</f>
        <v>4</v>
      </c>
      <c r="F11" s="13">
        <f>'1.2'!C12</f>
        <v>2</v>
      </c>
      <c r="G11" s="13">
        <f>'1.3'!C12</f>
        <v>2</v>
      </c>
      <c r="H11" s="13">
        <f>'1.4'!E13</f>
        <v>2</v>
      </c>
      <c r="I11" s="13">
        <f>'1.5'!E13</f>
        <v>2</v>
      </c>
    </row>
    <row r="12" spans="1:9" ht="16" customHeight="1">
      <c r="A12" s="107" t="s">
        <v>8</v>
      </c>
      <c r="B12" s="15">
        <f t="shared" si="0"/>
        <v>100</v>
      </c>
      <c r="C12" s="15">
        <f t="shared" si="1"/>
        <v>12</v>
      </c>
      <c r="D12" s="15">
        <f t="shared" si="2"/>
        <v>12</v>
      </c>
      <c r="E12" s="16">
        <f>'1.1'!F14</f>
        <v>4</v>
      </c>
      <c r="F12" s="13">
        <f>'1.2'!C14</f>
        <v>2</v>
      </c>
      <c r="G12" s="13">
        <f>'1.3'!C14</f>
        <v>2</v>
      </c>
      <c r="H12" s="13">
        <f>'1.4'!E15</f>
        <v>2</v>
      </c>
      <c r="I12" s="13">
        <f>'1.5'!E15</f>
        <v>2</v>
      </c>
    </row>
    <row r="13" spans="1:9" ht="16" customHeight="1">
      <c r="A13" s="107" t="s">
        <v>10</v>
      </c>
      <c r="B13" s="15">
        <f t="shared" si="0"/>
        <v>100</v>
      </c>
      <c r="C13" s="15">
        <f t="shared" si="1"/>
        <v>12</v>
      </c>
      <c r="D13" s="15">
        <f t="shared" si="2"/>
        <v>12</v>
      </c>
      <c r="E13" s="16">
        <f>'1.1'!F16</f>
        <v>4</v>
      </c>
      <c r="F13" s="13">
        <f>'1.2'!C16</f>
        <v>2</v>
      </c>
      <c r="G13" s="13">
        <f>'1.3'!C16</f>
        <v>2</v>
      </c>
      <c r="H13" s="13">
        <f>'1.4'!E17</f>
        <v>2</v>
      </c>
      <c r="I13" s="13">
        <f>'1.5'!E17</f>
        <v>2</v>
      </c>
    </row>
    <row r="14" spans="1:9" ht="16" customHeight="1">
      <c r="A14" s="107" t="s">
        <v>19</v>
      </c>
      <c r="B14" s="15">
        <f t="shared" si="0"/>
        <v>100</v>
      </c>
      <c r="C14" s="15">
        <f t="shared" si="1"/>
        <v>12</v>
      </c>
      <c r="D14" s="15">
        <f t="shared" si="2"/>
        <v>12</v>
      </c>
      <c r="E14" s="16">
        <f>'1.1'!F26</f>
        <v>4</v>
      </c>
      <c r="F14" s="13">
        <f>'1.2'!C26</f>
        <v>2</v>
      </c>
      <c r="G14" s="13">
        <f>'1.3'!C26</f>
        <v>2</v>
      </c>
      <c r="H14" s="13">
        <f>'1.4'!E27</f>
        <v>2</v>
      </c>
      <c r="I14" s="13">
        <f>'1.5'!E27</f>
        <v>2</v>
      </c>
    </row>
    <row r="15" spans="1:9" s="7" customFormat="1" ht="16" customHeight="1">
      <c r="A15" s="107" t="s">
        <v>21</v>
      </c>
      <c r="B15" s="15">
        <f t="shared" si="0"/>
        <v>100</v>
      </c>
      <c r="C15" s="15">
        <f t="shared" si="1"/>
        <v>12</v>
      </c>
      <c r="D15" s="15">
        <f t="shared" si="2"/>
        <v>12</v>
      </c>
      <c r="E15" s="16">
        <f>'1.1'!F28</f>
        <v>4</v>
      </c>
      <c r="F15" s="13">
        <f>'1.2'!C28</f>
        <v>2</v>
      </c>
      <c r="G15" s="13">
        <f>'1.3'!C28</f>
        <v>2</v>
      </c>
      <c r="H15" s="13">
        <f>'1.4'!E29</f>
        <v>2</v>
      </c>
      <c r="I15" s="13">
        <f>'1.5'!E29</f>
        <v>2</v>
      </c>
    </row>
    <row r="16" spans="1:9" ht="16" customHeight="1">
      <c r="A16" s="107" t="s">
        <v>22</v>
      </c>
      <c r="B16" s="15">
        <f t="shared" si="0"/>
        <v>100</v>
      </c>
      <c r="C16" s="15">
        <f t="shared" si="1"/>
        <v>12</v>
      </c>
      <c r="D16" s="15">
        <f t="shared" si="2"/>
        <v>12</v>
      </c>
      <c r="E16" s="16">
        <f>'1.1'!F29</f>
        <v>4</v>
      </c>
      <c r="F16" s="13">
        <f>'1.2'!C29</f>
        <v>2</v>
      </c>
      <c r="G16" s="13">
        <f>'1.3'!C29</f>
        <v>2</v>
      </c>
      <c r="H16" s="13">
        <f>'1.4'!E30</f>
        <v>2</v>
      </c>
      <c r="I16" s="13">
        <f>'1.5'!E30</f>
        <v>2</v>
      </c>
    </row>
    <row r="17" spans="1:9" ht="16" customHeight="1">
      <c r="A17" s="107" t="s">
        <v>31</v>
      </c>
      <c r="B17" s="15">
        <f t="shared" si="0"/>
        <v>100</v>
      </c>
      <c r="C17" s="15">
        <f t="shared" si="1"/>
        <v>12</v>
      </c>
      <c r="D17" s="15">
        <f t="shared" si="2"/>
        <v>12</v>
      </c>
      <c r="E17" s="16">
        <f>'1.1'!F39</f>
        <v>4</v>
      </c>
      <c r="F17" s="13">
        <f>'1.2'!C39</f>
        <v>2</v>
      </c>
      <c r="G17" s="13">
        <f>'1.3'!C39</f>
        <v>2</v>
      </c>
      <c r="H17" s="13">
        <f>'1.4'!E40</f>
        <v>2</v>
      </c>
      <c r="I17" s="13">
        <f>'1.5'!E40</f>
        <v>2</v>
      </c>
    </row>
    <row r="18" spans="1:9" ht="16" customHeight="1">
      <c r="A18" s="107" t="s">
        <v>87</v>
      </c>
      <c r="B18" s="15">
        <f t="shared" si="0"/>
        <v>100</v>
      </c>
      <c r="C18" s="15">
        <f t="shared" si="1"/>
        <v>12</v>
      </c>
      <c r="D18" s="15">
        <f t="shared" si="2"/>
        <v>12</v>
      </c>
      <c r="E18" s="16">
        <f>'1.1'!F40</f>
        <v>4</v>
      </c>
      <c r="F18" s="13">
        <f>'1.2'!C40</f>
        <v>2</v>
      </c>
      <c r="G18" s="13">
        <f>'1.3'!C40</f>
        <v>2</v>
      </c>
      <c r="H18" s="13">
        <f>'1.4'!E41</f>
        <v>2</v>
      </c>
      <c r="I18" s="13">
        <f>'1.5'!E41</f>
        <v>2</v>
      </c>
    </row>
    <row r="19" spans="1:9" s="7" customFormat="1" ht="16" customHeight="1">
      <c r="A19" s="107" t="s">
        <v>32</v>
      </c>
      <c r="B19" s="15">
        <f t="shared" si="0"/>
        <v>100</v>
      </c>
      <c r="C19" s="15">
        <f t="shared" si="1"/>
        <v>12</v>
      </c>
      <c r="D19" s="15">
        <f t="shared" si="2"/>
        <v>12</v>
      </c>
      <c r="E19" s="16">
        <f>'1.1'!F41</f>
        <v>4</v>
      </c>
      <c r="F19" s="13">
        <f>'1.2'!C41</f>
        <v>2</v>
      </c>
      <c r="G19" s="13">
        <f>'1.3'!C41</f>
        <v>2</v>
      </c>
      <c r="H19" s="13">
        <f>'1.4'!E42</f>
        <v>2</v>
      </c>
      <c r="I19" s="13">
        <f>'1.5'!E42</f>
        <v>2</v>
      </c>
    </row>
    <row r="20" spans="1:9" ht="16" customHeight="1">
      <c r="A20" s="107" t="s">
        <v>35</v>
      </c>
      <c r="B20" s="15">
        <f t="shared" si="0"/>
        <v>100</v>
      </c>
      <c r="C20" s="15">
        <f t="shared" si="1"/>
        <v>12</v>
      </c>
      <c r="D20" s="15">
        <f t="shared" si="2"/>
        <v>12</v>
      </c>
      <c r="E20" s="16">
        <f>'1.1'!F44</f>
        <v>4</v>
      </c>
      <c r="F20" s="13">
        <f>'1.2'!C44</f>
        <v>2</v>
      </c>
      <c r="G20" s="13">
        <f>'1.3'!C44</f>
        <v>2</v>
      </c>
      <c r="H20" s="13">
        <f>'1.4'!E45</f>
        <v>2</v>
      </c>
      <c r="I20" s="13">
        <f>'1.5'!E45</f>
        <v>2</v>
      </c>
    </row>
    <row r="21" spans="1:9" ht="16" customHeight="1">
      <c r="A21" s="107" t="s">
        <v>42</v>
      </c>
      <c r="B21" s="15">
        <f t="shared" si="0"/>
        <v>100</v>
      </c>
      <c r="C21" s="15">
        <f t="shared" si="1"/>
        <v>12</v>
      </c>
      <c r="D21" s="15">
        <f t="shared" si="2"/>
        <v>12</v>
      </c>
      <c r="E21" s="16">
        <f>'1.1'!F53</f>
        <v>4</v>
      </c>
      <c r="F21" s="13">
        <f>'1.2'!C53</f>
        <v>2</v>
      </c>
      <c r="G21" s="13">
        <f>'1.3'!C53</f>
        <v>2</v>
      </c>
      <c r="H21" s="13">
        <f>'1.4'!E54</f>
        <v>2</v>
      </c>
      <c r="I21" s="13">
        <f>'1.5'!E54</f>
        <v>2</v>
      </c>
    </row>
    <row r="22" spans="1:9" ht="16" customHeight="1">
      <c r="A22" s="107" t="s">
        <v>44</v>
      </c>
      <c r="B22" s="15">
        <f t="shared" si="0"/>
        <v>100</v>
      </c>
      <c r="C22" s="15">
        <f t="shared" si="1"/>
        <v>12</v>
      </c>
      <c r="D22" s="15">
        <f t="shared" si="2"/>
        <v>12</v>
      </c>
      <c r="E22" s="16">
        <f>'1.1'!F55</f>
        <v>4</v>
      </c>
      <c r="F22" s="13">
        <f>'1.2'!C55</f>
        <v>2</v>
      </c>
      <c r="G22" s="13">
        <f>'1.3'!C55</f>
        <v>2</v>
      </c>
      <c r="H22" s="13">
        <f>'1.4'!E56</f>
        <v>2</v>
      </c>
      <c r="I22" s="13">
        <f>'1.5'!E56</f>
        <v>2</v>
      </c>
    </row>
    <row r="23" spans="1:9" ht="16" customHeight="1">
      <c r="A23" s="107" t="s">
        <v>549</v>
      </c>
      <c r="B23" s="15">
        <f t="shared" si="0"/>
        <v>100</v>
      </c>
      <c r="C23" s="15">
        <f t="shared" si="1"/>
        <v>12</v>
      </c>
      <c r="D23" s="15">
        <f t="shared" si="2"/>
        <v>12</v>
      </c>
      <c r="E23" s="16">
        <f>'1.1'!F60</f>
        <v>4</v>
      </c>
      <c r="F23" s="13">
        <f>'1.2'!C60</f>
        <v>2</v>
      </c>
      <c r="G23" s="13">
        <f>'1.3'!C60</f>
        <v>2</v>
      </c>
      <c r="H23" s="13">
        <f>'1.4'!E61</f>
        <v>2</v>
      </c>
      <c r="I23" s="13">
        <f>'1.5'!E61</f>
        <v>2</v>
      </c>
    </row>
    <row r="24" spans="1:9" ht="16" customHeight="1">
      <c r="A24" s="107" t="s">
        <v>49</v>
      </c>
      <c r="B24" s="15">
        <f t="shared" si="0"/>
        <v>100</v>
      </c>
      <c r="C24" s="15">
        <f t="shared" si="1"/>
        <v>12</v>
      </c>
      <c r="D24" s="15">
        <f t="shared" si="2"/>
        <v>12</v>
      </c>
      <c r="E24" s="16">
        <f>'1.1'!F62</f>
        <v>4</v>
      </c>
      <c r="F24" s="13">
        <f>'1.2'!C62</f>
        <v>2</v>
      </c>
      <c r="G24" s="13">
        <f>'1.3'!C62</f>
        <v>2</v>
      </c>
      <c r="H24" s="13">
        <f>'1.4'!E63</f>
        <v>2</v>
      </c>
      <c r="I24" s="13">
        <f>'1.5'!E63</f>
        <v>2</v>
      </c>
    </row>
    <row r="25" spans="1:9" ht="16" customHeight="1">
      <c r="A25" s="107" t="s">
        <v>50</v>
      </c>
      <c r="B25" s="15">
        <f t="shared" si="0"/>
        <v>100</v>
      </c>
      <c r="C25" s="15">
        <f t="shared" si="1"/>
        <v>12</v>
      </c>
      <c r="D25" s="15">
        <f t="shared" si="2"/>
        <v>12</v>
      </c>
      <c r="E25" s="16">
        <f>'1.1'!F64</f>
        <v>4</v>
      </c>
      <c r="F25" s="13">
        <f>'1.2'!C64</f>
        <v>2</v>
      </c>
      <c r="G25" s="13">
        <f>'1.3'!C64</f>
        <v>2</v>
      </c>
      <c r="H25" s="13">
        <f>'1.4'!E65</f>
        <v>2</v>
      </c>
      <c r="I25" s="13">
        <f>'1.5'!E65</f>
        <v>2</v>
      </c>
    </row>
    <row r="26" spans="1:9" ht="16" customHeight="1">
      <c r="A26" s="107" t="s">
        <v>53</v>
      </c>
      <c r="B26" s="15">
        <f t="shared" si="0"/>
        <v>100</v>
      </c>
      <c r="C26" s="15">
        <f t="shared" si="1"/>
        <v>12</v>
      </c>
      <c r="D26" s="15">
        <f t="shared" si="2"/>
        <v>12</v>
      </c>
      <c r="E26" s="16">
        <f>'1.1'!F67</f>
        <v>4</v>
      </c>
      <c r="F26" s="13">
        <f>'1.2'!C67</f>
        <v>2</v>
      </c>
      <c r="G26" s="13">
        <f>'1.3'!C67</f>
        <v>2</v>
      </c>
      <c r="H26" s="13">
        <f>'1.4'!E68</f>
        <v>2</v>
      </c>
      <c r="I26" s="13">
        <f>'1.5'!E68</f>
        <v>2</v>
      </c>
    </row>
    <row r="27" spans="1:9" s="7" customFormat="1" ht="16" customHeight="1">
      <c r="A27" s="107" t="s">
        <v>59</v>
      </c>
      <c r="B27" s="15">
        <f t="shared" si="0"/>
        <v>100</v>
      </c>
      <c r="C27" s="15">
        <f t="shared" si="1"/>
        <v>12</v>
      </c>
      <c r="D27" s="15">
        <f t="shared" si="2"/>
        <v>12</v>
      </c>
      <c r="E27" s="16">
        <f>'1.1'!F73</f>
        <v>4</v>
      </c>
      <c r="F27" s="13">
        <f>'1.2'!C73</f>
        <v>2</v>
      </c>
      <c r="G27" s="13">
        <f>'1.3'!C73</f>
        <v>2</v>
      </c>
      <c r="H27" s="13">
        <f>'1.4'!E74</f>
        <v>2</v>
      </c>
      <c r="I27" s="13">
        <f>'1.5'!E74</f>
        <v>2</v>
      </c>
    </row>
    <row r="28" spans="1:9" ht="16" customHeight="1">
      <c r="A28" s="107" t="s">
        <v>551</v>
      </c>
      <c r="B28" s="15">
        <f t="shared" si="0"/>
        <v>100</v>
      </c>
      <c r="C28" s="15">
        <f t="shared" si="1"/>
        <v>12</v>
      </c>
      <c r="D28" s="15">
        <f t="shared" si="2"/>
        <v>12</v>
      </c>
      <c r="E28" s="16">
        <f>'1.1'!F74</f>
        <v>4</v>
      </c>
      <c r="F28" s="13">
        <f>'1.2'!C74</f>
        <v>2</v>
      </c>
      <c r="G28" s="13">
        <f>'1.3'!C74</f>
        <v>2</v>
      </c>
      <c r="H28" s="13">
        <f>'1.4'!E75</f>
        <v>2</v>
      </c>
      <c r="I28" s="13">
        <f>'1.5'!E75</f>
        <v>2</v>
      </c>
    </row>
    <row r="29" spans="1:9" ht="16" customHeight="1">
      <c r="A29" s="107" t="s">
        <v>60</v>
      </c>
      <c r="B29" s="15">
        <f t="shared" si="0"/>
        <v>100</v>
      </c>
      <c r="C29" s="15">
        <f t="shared" si="1"/>
        <v>12</v>
      </c>
      <c r="D29" s="15">
        <f t="shared" si="2"/>
        <v>12</v>
      </c>
      <c r="E29" s="16">
        <f>'1.1'!F75</f>
        <v>4</v>
      </c>
      <c r="F29" s="13">
        <f>'1.2'!C75</f>
        <v>2</v>
      </c>
      <c r="G29" s="13">
        <f>'1.3'!C75</f>
        <v>2</v>
      </c>
      <c r="H29" s="13">
        <f>'1.4'!E76</f>
        <v>2</v>
      </c>
      <c r="I29" s="13">
        <f>'1.5'!E76</f>
        <v>2</v>
      </c>
    </row>
    <row r="30" spans="1:9" ht="16" customHeight="1">
      <c r="A30" s="107" t="s">
        <v>65</v>
      </c>
      <c r="B30" s="15">
        <f t="shared" si="0"/>
        <v>100</v>
      </c>
      <c r="C30" s="15">
        <f t="shared" si="1"/>
        <v>12</v>
      </c>
      <c r="D30" s="15">
        <f t="shared" si="2"/>
        <v>12</v>
      </c>
      <c r="E30" s="16">
        <f>'1.1'!F79</f>
        <v>4</v>
      </c>
      <c r="F30" s="13">
        <f>'1.2'!C79</f>
        <v>2</v>
      </c>
      <c r="G30" s="13">
        <f>'1.3'!C79</f>
        <v>2</v>
      </c>
      <c r="H30" s="13">
        <f>'1.4'!E80</f>
        <v>2</v>
      </c>
      <c r="I30" s="13">
        <f>'1.5'!E80</f>
        <v>2</v>
      </c>
    </row>
    <row r="31" spans="1:9" ht="16" customHeight="1">
      <c r="A31" s="107" t="s">
        <v>69</v>
      </c>
      <c r="B31" s="15">
        <f t="shared" si="0"/>
        <v>100</v>
      </c>
      <c r="C31" s="15">
        <f t="shared" si="1"/>
        <v>12</v>
      </c>
      <c r="D31" s="15">
        <f t="shared" si="2"/>
        <v>12</v>
      </c>
      <c r="E31" s="16">
        <f>'1.1'!F82</f>
        <v>4</v>
      </c>
      <c r="F31" s="13">
        <f>'1.2'!C82</f>
        <v>2</v>
      </c>
      <c r="G31" s="13">
        <f>'1.3'!C82</f>
        <v>2</v>
      </c>
      <c r="H31" s="13">
        <f>'1.4'!E83</f>
        <v>2</v>
      </c>
      <c r="I31" s="13">
        <f>'1.5'!E83</f>
        <v>2</v>
      </c>
    </row>
    <row r="32" spans="1:9" ht="16" customHeight="1">
      <c r="A32" s="107" t="s">
        <v>552</v>
      </c>
      <c r="B32" s="15">
        <f t="shared" si="0"/>
        <v>100</v>
      </c>
      <c r="C32" s="15">
        <f t="shared" si="1"/>
        <v>12</v>
      </c>
      <c r="D32" s="15">
        <f t="shared" si="2"/>
        <v>12</v>
      </c>
      <c r="E32" s="16">
        <f>'1.1'!F83</f>
        <v>4</v>
      </c>
      <c r="F32" s="13">
        <f>'1.2'!C83</f>
        <v>2</v>
      </c>
      <c r="G32" s="13">
        <f>'1.3'!C83</f>
        <v>2</v>
      </c>
      <c r="H32" s="13">
        <f>'1.4'!E84</f>
        <v>2</v>
      </c>
      <c r="I32" s="13">
        <f>'1.5'!E84</f>
        <v>2</v>
      </c>
    </row>
    <row r="33" spans="1:9" s="7" customFormat="1" ht="16" customHeight="1">
      <c r="A33" s="107" t="s">
        <v>553</v>
      </c>
      <c r="B33" s="15">
        <f t="shared" si="0"/>
        <v>100</v>
      </c>
      <c r="C33" s="15">
        <f t="shared" si="1"/>
        <v>12</v>
      </c>
      <c r="D33" s="15">
        <f t="shared" si="2"/>
        <v>12</v>
      </c>
      <c r="E33" s="16">
        <f>'1.1'!F92</f>
        <v>4</v>
      </c>
      <c r="F33" s="13">
        <f>'1.2'!C92</f>
        <v>2</v>
      </c>
      <c r="G33" s="13">
        <f>'1.3'!C92</f>
        <v>2</v>
      </c>
      <c r="H33" s="13">
        <f>'1.4'!E93</f>
        <v>2</v>
      </c>
      <c r="I33" s="13">
        <f>'1.5'!E93</f>
        <v>2</v>
      </c>
    </row>
    <row r="34" spans="1:9" s="7" customFormat="1" ht="16" customHeight="1">
      <c r="A34" s="107" t="s">
        <v>79</v>
      </c>
      <c r="B34" s="15">
        <f t="shared" si="0"/>
        <v>100</v>
      </c>
      <c r="C34" s="15">
        <f t="shared" si="1"/>
        <v>12</v>
      </c>
      <c r="D34" s="15">
        <f t="shared" si="2"/>
        <v>12</v>
      </c>
      <c r="E34" s="16">
        <f>'1.1'!F96</f>
        <v>4</v>
      </c>
      <c r="F34" s="13">
        <f>'1.2'!C96</f>
        <v>2</v>
      </c>
      <c r="G34" s="13">
        <f>'1.3'!C96</f>
        <v>2</v>
      </c>
      <c r="H34" s="13">
        <f>'1.4'!E97</f>
        <v>2</v>
      </c>
      <c r="I34" s="13">
        <f>'1.5'!E97</f>
        <v>2</v>
      </c>
    </row>
    <row r="35" spans="1:9" ht="16" customHeight="1">
      <c r="A35" s="107" t="s">
        <v>9</v>
      </c>
      <c r="B35" s="15">
        <f t="shared" si="0"/>
        <v>91.7</v>
      </c>
      <c r="C35" s="15">
        <f t="shared" si="1"/>
        <v>12</v>
      </c>
      <c r="D35" s="15">
        <f t="shared" si="2"/>
        <v>11</v>
      </c>
      <c r="E35" s="16">
        <f>'1.1'!F15</f>
        <v>4</v>
      </c>
      <c r="F35" s="13">
        <f>'1.2'!C15</f>
        <v>2</v>
      </c>
      <c r="G35" s="13">
        <f>'1.3'!C15</f>
        <v>2</v>
      </c>
      <c r="H35" s="13">
        <f>'1.4'!E16</f>
        <v>1</v>
      </c>
      <c r="I35" s="13">
        <f>'1.5'!E16</f>
        <v>2</v>
      </c>
    </row>
    <row r="36" spans="1:9" ht="16" customHeight="1">
      <c r="A36" s="107" t="s">
        <v>15</v>
      </c>
      <c r="B36" s="15">
        <f t="shared" si="0"/>
        <v>91.7</v>
      </c>
      <c r="C36" s="15">
        <f t="shared" si="1"/>
        <v>12</v>
      </c>
      <c r="D36" s="15">
        <f t="shared" si="2"/>
        <v>11</v>
      </c>
      <c r="E36" s="16">
        <f>'1.1'!F21</f>
        <v>4</v>
      </c>
      <c r="F36" s="13">
        <f>'1.2'!C21</f>
        <v>2</v>
      </c>
      <c r="G36" s="13">
        <f>'1.3'!C21</f>
        <v>2</v>
      </c>
      <c r="H36" s="13">
        <f>'1.4'!E22</f>
        <v>2</v>
      </c>
      <c r="I36" s="13">
        <f>'1.5'!E22</f>
        <v>1</v>
      </c>
    </row>
    <row r="37" spans="1:9" ht="16" customHeight="1">
      <c r="A37" s="107" t="s">
        <v>25</v>
      </c>
      <c r="B37" s="15">
        <f t="shared" si="0"/>
        <v>91.7</v>
      </c>
      <c r="C37" s="15">
        <f t="shared" si="1"/>
        <v>12</v>
      </c>
      <c r="D37" s="15">
        <f t="shared" si="2"/>
        <v>11</v>
      </c>
      <c r="E37" s="16">
        <f>'1.1'!F32</f>
        <v>4</v>
      </c>
      <c r="F37" s="13">
        <f>'1.2'!C32</f>
        <v>2</v>
      </c>
      <c r="G37" s="13">
        <f>'1.3'!C32</f>
        <v>2</v>
      </c>
      <c r="H37" s="13">
        <f>'1.4'!E33</f>
        <v>2</v>
      </c>
      <c r="I37" s="13">
        <f>'1.5'!E33</f>
        <v>1</v>
      </c>
    </row>
    <row r="38" spans="1:9" ht="16" customHeight="1">
      <c r="A38" s="107" t="s">
        <v>28</v>
      </c>
      <c r="B38" s="15">
        <f t="shared" si="0"/>
        <v>91.7</v>
      </c>
      <c r="C38" s="15">
        <f t="shared" si="1"/>
        <v>12</v>
      </c>
      <c r="D38" s="15">
        <f t="shared" si="2"/>
        <v>11</v>
      </c>
      <c r="E38" s="16">
        <f>'1.1'!F36</f>
        <v>4</v>
      </c>
      <c r="F38" s="13">
        <f>'1.2'!C36</f>
        <v>2</v>
      </c>
      <c r="G38" s="13">
        <f>'1.3'!C36</f>
        <v>2</v>
      </c>
      <c r="H38" s="13">
        <f>'1.4'!E37</f>
        <v>1</v>
      </c>
      <c r="I38" s="13">
        <f>'1.5'!E37</f>
        <v>2</v>
      </c>
    </row>
    <row r="39" spans="1:9" ht="16" customHeight="1">
      <c r="A39" s="107" t="s">
        <v>39</v>
      </c>
      <c r="B39" s="15">
        <f t="shared" ref="B39:B59" si="3">ROUND(D39/C39*100,1)</f>
        <v>91.7</v>
      </c>
      <c r="C39" s="15">
        <f t="shared" si="1"/>
        <v>12</v>
      </c>
      <c r="D39" s="15">
        <f t="shared" ref="D39:D59" si="4">SUM(E39:I39)</f>
        <v>11</v>
      </c>
      <c r="E39" s="16">
        <f>'1.1'!F49</f>
        <v>4</v>
      </c>
      <c r="F39" s="13">
        <f>'1.2'!C49</f>
        <v>2</v>
      </c>
      <c r="G39" s="13">
        <f>'1.3'!C49</f>
        <v>2</v>
      </c>
      <c r="H39" s="13">
        <f>'1.4'!E50</f>
        <v>2</v>
      </c>
      <c r="I39" s="13">
        <f>'1.5'!E50</f>
        <v>1</v>
      </c>
    </row>
    <row r="40" spans="1:9" ht="16" customHeight="1">
      <c r="A40" s="107" t="s">
        <v>548</v>
      </c>
      <c r="B40" s="15">
        <f t="shared" si="3"/>
        <v>91.7</v>
      </c>
      <c r="C40" s="15">
        <f t="shared" si="1"/>
        <v>12</v>
      </c>
      <c r="D40" s="15">
        <f t="shared" si="4"/>
        <v>11</v>
      </c>
      <c r="E40" s="16">
        <f>'1.1'!F56</f>
        <v>4</v>
      </c>
      <c r="F40" s="13">
        <f>'1.2'!C56</f>
        <v>2</v>
      </c>
      <c r="G40" s="13">
        <f>'1.3'!C56</f>
        <v>2</v>
      </c>
      <c r="H40" s="13">
        <f>'1.4'!E57</f>
        <v>1</v>
      </c>
      <c r="I40" s="13">
        <f>'1.5'!E57</f>
        <v>2</v>
      </c>
    </row>
    <row r="41" spans="1:9" ht="16" customHeight="1">
      <c r="A41" s="107" t="s">
        <v>550</v>
      </c>
      <c r="B41" s="15">
        <f t="shared" si="3"/>
        <v>91.7</v>
      </c>
      <c r="C41" s="15">
        <f t="shared" si="1"/>
        <v>12</v>
      </c>
      <c r="D41" s="15">
        <f t="shared" si="4"/>
        <v>11</v>
      </c>
      <c r="E41" s="16">
        <f>'1.1'!F63</f>
        <v>4</v>
      </c>
      <c r="F41" s="13">
        <f>'1.2'!C63</f>
        <v>2</v>
      </c>
      <c r="G41" s="13">
        <f>'1.3'!C63</f>
        <v>2</v>
      </c>
      <c r="H41" s="13">
        <f>'1.4'!E64</f>
        <v>1</v>
      </c>
      <c r="I41" s="13">
        <f>'1.5'!E64</f>
        <v>2</v>
      </c>
    </row>
    <row r="42" spans="1:9" s="7" customFormat="1" ht="16" customHeight="1">
      <c r="A42" s="107" t="s">
        <v>58</v>
      </c>
      <c r="B42" s="15">
        <f t="shared" si="3"/>
        <v>91.7</v>
      </c>
      <c r="C42" s="15">
        <f t="shared" si="1"/>
        <v>12</v>
      </c>
      <c r="D42" s="15">
        <f t="shared" si="4"/>
        <v>11</v>
      </c>
      <c r="E42" s="16">
        <f>'1.1'!F72</f>
        <v>4</v>
      </c>
      <c r="F42" s="13">
        <f>'1.2'!C72</f>
        <v>2</v>
      </c>
      <c r="G42" s="13">
        <f>'1.3'!C72</f>
        <v>2</v>
      </c>
      <c r="H42" s="13">
        <f>'1.4'!E73</f>
        <v>1</v>
      </c>
      <c r="I42" s="13">
        <f>'1.5'!E73</f>
        <v>2</v>
      </c>
    </row>
    <row r="43" spans="1:9" ht="16" customHeight="1">
      <c r="A43" s="107" t="s">
        <v>62</v>
      </c>
      <c r="B43" s="15">
        <f t="shared" si="3"/>
        <v>91.7</v>
      </c>
      <c r="C43" s="15">
        <f t="shared" si="1"/>
        <v>12</v>
      </c>
      <c r="D43" s="15">
        <f t="shared" si="4"/>
        <v>11</v>
      </c>
      <c r="E43" s="16">
        <f>'1.1'!F77</f>
        <v>4</v>
      </c>
      <c r="F43" s="13">
        <f>'1.2'!C77</f>
        <v>2</v>
      </c>
      <c r="G43" s="13">
        <f>'1.3'!C77</f>
        <v>2</v>
      </c>
      <c r="H43" s="13">
        <f>'1.4'!E78</f>
        <v>1</v>
      </c>
      <c r="I43" s="13">
        <f>'1.5'!E78</f>
        <v>2</v>
      </c>
    </row>
    <row r="44" spans="1:9" ht="16" customHeight="1">
      <c r="A44" s="107" t="s">
        <v>63</v>
      </c>
      <c r="B44" s="15">
        <f t="shared" si="3"/>
        <v>91.7</v>
      </c>
      <c r="C44" s="15">
        <f t="shared" si="1"/>
        <v>12</v>
      </c>
      <c r="D44" s="15">
        <f t="shared" si="4"/>
        <v>11</v>
      </c>
      <c r="E44" s="16">
        <f>'1.1'!F88</f>
        <v>4</v>
      </c>
      <c r="F44" s="13">
        <f>'1.2'!C88</f>
        <v>2</v>
      </c>
      <c r="G44" s="13">
        <f>'1.3'!C88</f>
        <v>2</v>
      </c>
      <c r="H44" s="13">
        <f>'1.4'!E89</f>
        <v>1</v>
      </c>
      <c r="I44" s="13">
        <f>'1.5'!E89</f>
        <v>2</v>
      </c>
    </row>
    <row r="45" spans="1:9" ht="16" customHeight="1">
      <c r="A45" s="107" t="s">
        <v>75</v>
      </c>
      <c r="B45" s="15">
        <f t="shared" si="3"/>
        <v>91.7</v>
      </c>
      <c r="C45" s="15">
        <f t="shared" si="1"/>
        <v>12</v>
      </c>
      <c r="D45" s="15">
        <f t="shared" si="4"/>
        <v>11</v>
      </c>
      <c r="E45" s="16">
        <f>'1.1'!F91</f>
        <v>4</v>
      </c>
      <c r="F45" s="13">
        <f>'1.2'!C91</f>
        <v>2</v>
      </c>
      <c r="G45" s="13">
        <f>'1.3'!C91</f>
        <v>2</v>
      </c>
      <c r="H45" s="13">
        <f>'1.4'!E92</f>
        <v>1</v>
      </c>
      <c r="I45" s="13">
        <f>'1.5'!E92</f>
        <v>2</v>
      </c>
    </row>
    <row r="46" spans="1:9" ht="16" customHeight="1">
      <c r="A46" s="107" t="s">
        <v>77</v>
      </c>
      <c r="B46" s="15">
        <f t="shared" si="3"/>
        <v>91.7</v>
      </c>
      <c r="C46" s="15">
        <f t="shared" si="1"/>
        <v>12</v>
      </c>
      <c r="D46" s="15">
        <f t="shared" si="4"/>
        <v>11</v>
      </c>
      <c r="E46" s="16">
        <f>'1.1'!F94</f>
        <v>4</v>
      </c>
      <c r="F46" s="13">
        <f>'1.2'!C94</f>
        <v>2</v>
      </c>
      <c r="G46" s="13">
        <f>'1.3'!C94</f>
        <v>2</v>
      </c>
      <c r="H46" s="13">
        <f>'1.4'!E95</f>
        <v>1</v>
      </c>
      <c r="I46" s="13">
        <f>'1.5'!E95</f>
        <v>2</v>
      </c>
    </row>
    <row r="47" spans="1:9" ht="16" customHeight="1">
      <c r="A47" s="107" t="s">
        <v>546</v>
      </c>
      <c r="B47" s="15">
        <f t="shared" si="3"/>
        <v>90</v>
      </c>
      <c r="C47" s="15">
        <f>$D$5-I17</f>
        <v>10</v>
      </c>
      <c r="D47" s="15">
        <f t="shared" si="4"/>
        <v>9</v>
      </c>
      <c r="E47" s="16">
        <f>'1.1'!F35</f>
        <v>4</v>
      </c>
      <c r="F47" s="13">
        <f>'1.2'!C35</f>
        <v>2</v>
      </c>
      <c r="G47" s="13">
        <f>'1.3'!C35</f>
        <v>2</v>
      </c>
      <c r="H47" s="13">
        <f>'1.4'!E36</f>
        <v>1</v>
      </c>
      <c r="I47" s="13" t="str">
        <f>'1.5'!E36</f>
        <v>- *</v>
      </c>
    </row>
    <row r="48" spans="1:9" ht="16" customHeight="1">
      <c r="A48" s="107" t="s">
        <v>33</v>
      </c>
      <c r="B48" s="15">
        <f t="shared" si="3"/>
        <v>87.5</v>
      </c>
      <c r="C48" s="15">
        <f t="shared" ref="C48:C59" si="5">$D$5</f>
        <v>12</v>
      </c>
      <c r="D48" s="15">
        <f t="shared" si="4"/>
        <v>10.5</v>
      </c>
      <c r="E48" s="16">
        <f>'1.1'!F42</f>
        <v>4</v>
      </c>
      <c r="F48" s="13">
        <f>'1.2'!C42</f>
        <v>2</v>
      </c>
      <c r="G48" s="13">
        <f>'1.3'!C42</f>
        <v>2</v>
      </c>
      <c r="H48" s="13">
        <f>'1.4'!E43</f>
        <v>0.5</v>
      </c>
      <c r="I48" s="13">
        <f>'1.5'!E43</f>
        <v>2</v>
      </c>
    </row>
    <row r="49" spans="1:9" ht="16" customHeight="1">
      <c r="A49" s="107" t="s">
        <v>1</v>
      </c>
      <c r="B49" s="15">
        <f t="shared" si="3"/>
        <v>83.3</v>
      </c>
      <c r="C49" s="15">
        <f t="shared" si="5"/>
        <v>12</v>
      </c>
      <c r="D49" s="15">
        <f t="shared" si="4"/>
        <v>10</v>
      </c>
      <c r="E49" s="16">
        <f>'1.1'!F7</f>
        <v>4</v>
      </c>
      <c r="F49" s="13">
        <f>'1.2'!C7</f>
        <v>2</v>
      </c>
      <c r="G49" s="13">
        <f>'1.3'!C7</f>
        <v>2</v>
      </c>
      <c r="H49" s="13">
        <f>'1.4'!E8</f>
        <v>1</v>
      </c>
      <c r="I49" s="13">
        <f>'1.5'!E8</f>
        <v>1</v>
      </c>
    </row>
    <row r="50" spans="1:9" ht="16" customHeight="1">
      <c r="A50" s="107" t="s">
        <v>13</v>
      </c>
      <c r="B50" s="15">
        <f t="shared" si="3"/>
        <v>83.3</v>
      </c>
      <c r="C50" s="15">
        <f t="shared" si="5"/>
        <v>12</v>
      </c>
      <c r="D50" s="15">
        <f t="shared" si="4"/>
        <v>10</v>
      </c>
      <c r="E50" s="16">
        <f>'1.1'!F19</f>
        <v>2</v>
      </c>
      <c r="F50" s="13">
        <f>'1.2'!C19</f>
        <v>2</v>
      </c>
      <c r="G50" s="13">
        <f>'1.3'!C19</f>
        <v>2</v>
      </c>
      <c r="H50" s="13">
        <f>'1.4'!E20</f>
        <v>2</v>
      </c>
      <c r="I50" s="13">
        <f>'1.5'!E20</f>
        <v>2</v>
      </c>
    </row>
    <row r="51" spans="1:9" ht="16" customHeight="1">
      <c r="A51" s="107" t="s">
        <v>16</v>
      </c>
      <c r="B51" s="15">
        <f t="shared" si="3"/>
        <v>83.3</v>
      </c>
      <c r="C51" s="15">
        <f t="shared" si="5"/>
        <v>12</v>
      </c>
      <c r="D51" s="15">
        <f t="shared" si="4"/>
        <v>10</v>
      </c>
      <c r="E51" s="16">
        <f>'1.1'!F22</f>
        <v>4</v>
      </c>
      <c r="F51" s="13">
        <f>'1.2'!C22</f>
        <v>2</v>
      </c>
      <c r="G51" s="13">
        <f>'1.3'!C22</f>
        <v>2</v>
      </c>
      <c r="H51" s="13">
        <f>'1.4'!E23</f>
        <v>1</v>
      </c>
      <c r="I51" s="13">
        <f>'1.5'!E23</f>
        <v>1</v>
      </c>
    </row>
    <row r="52" spans="1:9" ht="16" customHeight="1">
      <c r="A52" s="107" t="s">
        <v>24</v>
      </c>
      <c r="B52" s="15">
        <f t="shared" si="3"/>
        <v>83.3</v>
      </c>
      <c r="C52" s="15">
        <f t="shared" si="5"/>
        <v>12</v>
      </c>
      <c r="D52" s="15">
        <f t="shared" si="4"/>
        <v>10</v>
      </c>
      <c r="E52" s="16">
        <f>'1.1'!F31</f>
        <v>4</v>
      </c>
      <c r="F52" s="13">
        <f>'1.2'!C31</f>
        <v>2</v>
      </c>
      <c r="G52" s="13">
        <f>'1.3'!C31</f>
        <v>2</v>
      </c>
      <c r="H52" s="13">
        <f>'1.4'!E32</f>
        <v>2</v>
      </c>
      <c r="I52" s="13">
        <f>'1.5'!E32</f>
        <v>0</v>
      </c>
    </row>
    <row r="53" spans="1:9" ht="16" customHeight="1">
      <c r="A53" s="107" t="s">
        <v>30</v>
      </c>
      <c r="B53" s="246">
        <f t="shared" si="3"/>
        <v>83.3</v>
      </c>
      <c r="C53" s="246">
        <f t="shared" si="5"/>
        <v>12</v>
      </c>
      <c r="D53" s="246">
        <f t="shared" si="4"/>
        <v>10</v>
      </c>
      <c r="E53" s="16">
        <f>'1.1'!F38</f>
        <v>4</v>
      </c>
      <c r="F53" s="13">
        <f>'1.2'!C38</f>
        <v>2</v>
      </c>
      <c r="G53" s="13">
        <f>'1.3'!C38</f>
        <v>2</v>
      </c>
      <c r="H53" s="13">
        <f>'1.4'!E39</f>
        <v>0</v>
      </c>
      <c r="I53" s="245">
        <f>'1.5'!E39</f>
        <v>2</v>
      </c>
    </row>
    <row r="54" spans="1:9" ht="16" customHeight="1">
      <c r="A54" s="107" t="s">
        <v>34</v>
      </c>
      <c r="B54" s="15">
        <f t="shared" si="3"/>
        <v>83.3</v>
      </c>
      <c r="C54" s="15">
        <f t="shared" si="5"/>
        <v>12</v>
      </c>
      <c r="D54" s="15">
        <f t="shared" si="4"/>
        <v>10</v>
      </c>
      <c r="E54" s="16">
        <f>'1.1'!F43</f>
        <v>4</v>
      </c>
      <c r="F54" s="13">
        <f>'1.2'!C43</f>
        <v>2</v>
      </c>
      <c r="G54" s="13">
        <f>'1.3'!C43</f>
        <v>2</v>
      </c>
      <c r="H54" s="13">
        <f>'1.4'!E44</f>
        <v>0</v>
      </c>
      <c r="I54" s="13">
        <f>'1.5'!E44</f>
        <v>2</v>
      </c>
    </row>
    <row r="55" spans="1:9" ht="16" customHeight="1">
      <c r="A55" s="107" t="s">
        <v>54</v>
      </c>
      <c r="B55" s="15">
        <f t="shared" si="3"/>
        <v>83.3</v>
      </c>
      <c r="C55" s="15">
        <f t="shared" si="5"/>
        <v>12</v>
      </c>
      <c r="D55" s="15">
        <f t="shared" si="4"/>
        <v>10</v>
      </c>
      <c r="E55" s="16">
        <f>'1.1'!F68</f>
        <v>4</v>
      </c>
      <c r="F55" s="13">
        <f>'1.2'!C68</f>
        <v>0</v>
      </c>
      <c r="G55" s="13">
        <f>'1.3'!C68</f>
        <v>2</v>
      </c>
      <c r="H55" s="13">
        <f>'1.4'!E69</f>
        <v>2</v>
      </c>
      <c r="I55" s="13">
        <f>'1.5'!E69</f>
        <v>2</v>
      </c>
    </row>
    <row r="56" spans="1:9" ht="16" customHeight="1">
      <c r="A56" s="107" t="s">
        <v>71</v>
      </c>
      <c r="B56" s="15">
        <f t="shared" si="3"/>
        <v>83.3</v>
      </c>
      <c r="C56" s="15">
        <f t="shared" si="5"/>
        <v>12</v>
      </c>
      <c r="D56" s="15">
        <f t="shared" si="4"/>
        <v>10</v>
      </c>
      <c r="E56" s="16">
        <f>'1.1'!F85</f>
        <v>4</v>
      </c>
      <c r="F56" s="13">
        <f>'1.2'!C85</f>
        <v>2</v>
      </c>
      <c r="G56" s="13">
        <f>'1.3'!C85</f>
        <v>2</v>
      </c>
      <c r="H56" s="13">
        <f>'1.4'!E86</f>
        <v>2</v>
      </c>
      <c r="I56" s="13">
        <f>'1.5'!E86</f>
        <v>0</v>
      </c>
    </row>
    <row r="57" spans="1:9" s="7" customFormat="1" ht="16" customHeight="1">
      <c r="A57" s="107" t="s">
        <v>76</v>
      </c>
      <c r="B57" s="15">
        <f t="shared" si="3"/>
        <v>83.3</v>
      </c>
      <c r="C57" s="15">
        <f t="shared" si="5"/>
        <v>12</v>
      </c>
      <c r="D57" s="15">
        <f t="shared" si="4"/>
        <v>10</v>
      </c>
      <c r="E57" s="16">
        <f>'1.1'!F93</f>
        <v>4</v>
      </c>
      <c r="F57" s="13">
        <f>'1.2'!C93</f>
        <v>2</v>
      </c>
      <c r="G57" s="13">
        <f>'1.3'!C93</f>
        <v>2</v>
      </c>
      <c r="H57" s="13">
        <f>'1.4'!E94</f>
        <v>2</v>
      </c>
      <c r="I57" s="13">
        <f>'1.5'!E94</f>
        <v>0</v>
      </c>
    </row>
    <row r="58" spans="1:9" ht="16" customHeight="1">
      <c r="A58" s="107" t="s">
        <v>80</v>
      </c>
      <c r="B58" s="15">
        <f t="shared" si="3"/>
        <v>83.3</v>
      </c>
      <c r="C58" s="15">
        <f t="shared" si="5"/>
        <v>12</v>
      </c>
      <c r="D58" s="15">
        <f t="shared" si="4"/>
        <v>10</v>
      </c>
      <c r="E58" s="16">
        <f>'1.1'!F97</f>
        <v>2</v>
      </c>
      <c r="F58" s="13">
        <f>'1.2'!C97</f>
        <v>2</v>
      </c>
      <c r="G58" s="13">
        <f>'1.3'!C97</f>
        <v>2</v>
      </c>
      <c r="H58" s="13">
        <f>'1.4'!E98</f>
        <v>2</v>
      </c>
      <c r="I58" s="13">
        <f>'1.5'!E98</f>
        <v>2</v>
      </c>
    </row>
    <row r="59" spans="1:9" ht="16" customHeight="1">
      <c r="A59" s="107" t="s">
        <v>81</v>
      </c>
      <c r="B59" s="15">
        <f t="shared" si="3"/>
        <v>83.3</v>
      </c>
      <c r="C59" s="15">
        <f t="shared" si="5"/>
        <v>12</v>
      </c>
      <c r="D59" s="15">
        <f t="shared" si="4"/>
        <v>10</v>
      </c>
      <c r="E59" s="16">
        <f>'1.1'!F98</f>
        <v>2</v>
      </c>
      <c r="F59" s="13">
        <f>'1.2'!C98</f>
        <v>2</v>
      </c>
      <c r="G59" s="13">
        <f>'1.3'!C98</f>
        <v>2</v>
      </c>
      <c r="H59" s="13">
        <f>'1.4'!E99</f>
        <v>2</v>
      </c>
      <c r="I59" s="13">
        <f>'1.5'!E99</f>
        <v>2</v>
      </c>
    </row>
    <row r="60" spans="1:9" ht="16" customHeight="1">
      <c r="A60" s="101" t="s">
        <v>192</v>
      </c>
      <c r="B60" s="15"/>
      <c r="C60" s="15"/>
      <c r="D60" s="15"/>
      <c r="E60" s="16"/>
      <c r="F60" s="13"/>
      <c r="G60" s="13"/>
      <c r="H60" s="13"/>
      <c r="I60" s="13"/>
    </row>
    <row r="61" spans="1:9" ht="16" customHeight="1">
      <c r="A61" s="107" t="s">
        <v>14</v>
      </c>
      <c r="B61" s="15">
        <f t="shared" ref="B61:B78" si="6">ROUND(D61/C61*100,1)</f>
        <v>75</v>
      </c>
      <c r="C61" s="15">
        <f t="shared" ref="C61:C69" si="7">$D$5</f>
        <v>12</v>
      </c>
      <c r="D61" s="15">
        <f t="shared" ref="D61:D78" si="8">SUM(E61:I61)</f>
        <v>9</v>
      </c>
      <c r="E61" s="16">
        <f>'1.1'!F20</f>
        <v>2</v>
      </c>
      <c r="F61" s="13">
        <f>'1.2'!C20</f>
        <v>2</v>
      </c>
      <c r="G61" s="13">
        <f>'1.3'!C20</f>
        <v>2</v>
      </c>
      <c r="H61" s="13">
        <f>'1.4'!E21</f>
        <v>1</v>
      </c>
      <c r="I61" s="13">
        <f>'1.5'!E21</f>
        <v>2</v>
      </c>
    </row>
    <row r="62" spans="1:9" ht="16" customHeight="1">
      <c r="A62" s="107" t="s">
        <v>26</v>
      </c>
      <c r="B62" s="15">
        <f t="shared" si="6"/>
        <v>75</v>
      </c>
      <c r="C62" s="15">
        <f t="shared" si="7"/>
        <v>12</v>
      </c>
      <c r="D62" s="15">
        <f t="shared" si="8"/>
        <v>9</v>
      </c>
      <c r="E62" s="16">
        <f>'1.1'!F33</f>
        <v>4</v>
      </c>
      <c r="F62" s="13">
        <f>'1.2'!C33</f>
        <v>0</v>
      </c>
      <c r="G62" s="13">
        <f>'1.3'!C33</f>
        <v>2</v>
      </c>
      <c r="H62" s="13">
        <f>'1.4'!E34</f>
        <v>1</v>
      </c>
      <c r="I62" s="13">
        <f>'1.5'!E34</f>
        <v>2</v>
      </c>
    </row>
    <row r="63" spans="1:9" ht="16" customHeight="1">
      <c r="A63" s="107" t="s">
        <v>27</v>
      </c>
      <c r="B63" s="15">
        <f t="shared" si="6"/>
        <v>75</v>
      </c>
      <c r="C63" s="15">
        <f t="shared" si="7"/>
        <v>12</v>
      </c>
      <c r="D63" s="15">
        <f t="shared" si="8"/>
        <v>9</v>
      </c>
      <c r="E63" s="16">
        <f>'1.1'!F34</f>
        <v>1</v>
      </c>
      <c r="F63" s="13">
        <f>'1.2'!C34</f>
        <v>2</v>
      </c>
      <c r="G63" s="13">
        <f>'1.3'!C34</f>
        <v>2</v>
      </c>
      <c r="H63" s="13">
        <f>'1.4'!E35</f>
        <v>2</v>
      </c>
      <c r="I63" s="13">
        <f>'1.5'!E35</f>
        <v>2</v>
      </c>
    </row>
    <row r="64" spans="1:9" ht="16" customHeight="1">
      <c r="A64" s="107" t="s">
        <v>47</v>
      </c>
      <c r="B64" s="15">
        <f t="shared" si="6"/>
        <v>75</v>
      </c>
      <c r="C64" s="15">
        <f t="shared" si="7"/>
        <v>12</v>
      </c>
      <c r="D64" s="15">
        <f t="shared" si="8"/>
        <v>9</v>
      </c>
      <c r="E64" s="16">
        <f>'1.1'!F59</f>
        <v>4</v>
      </c>
      <c r="F64" s="13">
        <f>'1.2'!C59</f>
        <v>2</v>
      </c>
      <c r="G64" s="13">
        <f>'1.3'!C59</f>
        <v>2</v>
      </c>
      <c r="H64" s="13">
        <f>'1.4'!E60</f>
        <v>0</v>
      </c>
      <c r="I64" s="13">
        <f>'1.5'!E60</f>
        <v>1</v>
      </c>
    </row>
    <row r="65" spans="1:9" ht="16" customHeight="1">
      <c r="A65" s="107" t="s">
        <v>68</v>
      </c>
      <c r="B65" s="15">
        <f t="shared" si="6"/>
        <v>75</v>
      </c>
      <c r="C65" s="15">
        <f t="shared" si="7"/>
        <v>12</v>
      </c>
      <c r="D65" s="15">
        <f t="shared" si="8"/>
        <v>9</v>
      </c>
      <c r="E65" s="16">
        <f>'1.1'!F81</f>
        <v>4</v>
      </c>
      <c r="F65" s="13">
        <f>'1.2'!C81</f>
        <v>2</v>
      </c>
      <c r="G65" s="13">
        <f>'1.3'!C81</f>
        <v>2</v>
      </c>
      <c r="H65" s="13">
        <f>'1.4'!E82</f>
        <v>1</v>
      </c>
      <c r="I65" s="13">
        <f>'1.5'!E82</f>
        <v>0</v>
      </c>
    </row>
    <row r="66" spans="1:9" ht="16" customHeight="1">
      <c r="A66" s="107" t="s">
        <v>70</v>
      </c>
      <c r="B66" s="15">
        <f t="shared" si="6"/>
        <v>75</v>
      </c>
      <c r="C66" s="15">
        <f t="shared" si="7"/>
        <v>12</v>
      </c>
      <c r="D66" s="15">
        <f t="shared" si="8"/>
        <v>9</v>
      </c>
      <c r="E66" s="16">
        <f>'1.1'!F84</f>
        <v>4</v>
      </c>
      <c r="F66" s="13">
        <f>'1.2'!C84</f>
        <v>0</v>
      </c>
      <c r="G66" s="13">
        <f>'1.3'!C84</f>
        <v>2</v>
      </c>
      <c r="H66" s="13">
        <f>'1.4'!E85</f>
        <v>1</v>
      </c>
      <c r="I66" s="13">
        <f>'1.5'!E85</f>
        <v>2</v>
      </c>
    </row>
    <row r="67" spans="1:9" ht="16" customHeight="1">
      <c r="A67" s="107" t="s">
        <v>72</v>
      </c>
      <c r="B67" s="15">
        <f t="shared" si="6"/>
        <v>75</v>
      </c>
      <c r="C67" s="15">
        <f t="shared" si="7"/>
        <v>12</v>
      </c>
      <c r="D67" s="15">
        <f t="shared" si="8"/>
        <v>9</v>
      </c>
      <c r="E67" s="16">
        <f>'1.1'!F86</f>
        <v>4</v>
      </c>
      <c r="F67" s="13">
        <f>'1.2'!C86</f>
        <v>0</v>
      </c>
      <c r="G67" s="13">
        <f>'1.3'!C86</f>
        <v>2</v>
      </c>
      <c r="H67" s="13">
        <f>'1.4'!E87</f>
        <v>1</v>
      </c>
      <c r="I67" s="13">
        <f>'1.5'!E87</f>
        <v>2</v>
      </c>
    </row>
    <row r="68" spans="1:9" ht="16" customHeight="1">
      <c r="A68" s="107" t="s">
        <v>67</v>
      </c>
      <c r="B68" s="15">
        <f t="shared" si="6"/>
        <v>75</v>
      </c>
      <c r="C68" s="15">
        <f t="shared" si="7"/>
        <v>12</v>
      </c>
      <c r="D68" s="15">
        <f t="shared" si="8"/>
        <v>9</v>
      </c>
      <c r="E68" s="16">
        <f>'1.1'!F90</f>
        <v>4</v>
      </c>
      <c r="F68" s="13">
        <f>'1.2'!C90</f>
        <v>0</v>
      </c>
      <c r="G68" s="13">
        <f>'1.3'!C90</f>
        <v>2</v>
      </c>
      <c r="H68" s="13">
        <f>'1.4'!E91</f>
        <v>2</v>
      </c>
      <c r="I68" s="13">
        <f>'1.5'!E91</f>
        <v>1</v>
      </c>
    </row>
    <row r="69" spans="1:9" ht="16" customHeight="1">
      <c r="A69" s="107" t="s">
        <v>78</v>
      </c>
      <c r="B69" s="15">
        <f t="shared" si="6"/>
        <v>75</v>
      </c>
      <c r="C69" s="15">
        <f t="shared" si="7"/>
        <v>12</v>
      </c>
      <c r="D69" s="15">
        <f t="shared" si="8"/>
        <v>9</v>
      </c>
      <c r="E69" s="16">
        <f>'1.1'!F95</f>
        <v>4</v>
      </c>
      <c r="F69" s="13">
        <f>'1.2'!C95</f>
        <v>2</v>
      </c>
      <c r="G69" s="13">
        <f>'1.3'!C95</f>
        <v>2</v>
      </c>
      <c r="H69" s="13">
        <f>'1.4'!E96</f>
        <v>1</v>
      </c>
      <c r="I69" s="13">
        <f>'1.5'!E96</f>
        <v>0</v>
      </c>
    </row>
    <row r="70" spans="1:9" ht="16" customHeight="1">
      <c r="A70" s="107" t="s">
        <v>222</v>
      </c>
      <c r="B70" s="15">
        <f t="shared" si="6"/>
        <v>70</v>
      </c>
      <c r="C70" s="15">
        <f>$D$5-$I$5</f>
        <v>10</v>
      </c>
      <c r="D70" s="15">
        <f t="shared" si="8"/>
        <v>7</v>
      </c>
      <c r="E70" s="16">
        <f>'1.1'!F45</f>
        <v>4</v>
      </c>
      <c r="F70" s="13">
        <f>'1.2'!C45</f>
        <v>0</v>
      </c>
      <c r="G70" s="13">
        <f>'1.3'!C45</f>
        <v>2</v>
      </c>
      <c r="H70" s="13">
        <f>'1.4'!E46</f>
        <v>1</v>
      </c>
      <c r="I70" s="13" t="str">
        <f>'1.5'!E46</f>
        <v>- *</v>
      </c>
    </row>
    <row r="71" spans="1:9" ht="16" customHeight="1">
      <c r="A71" s="107" t="s">
        <v>12</v>
      </c>
      <c r="B71" s="15">
        <f t="shared" si="6"/>
        <v>66.7</v>
      </c>
      <c r="C71" s="15">
        <f t="shared" ref="C71:C78" si="9">$D$5</f>
        <v>12</v>
      </c>
      <c r="D71" s="15">
        <f t="shared" si="8"/>
        <v>8</v>
      </c>
      <c r="E71" s="16">
        <f>'1.1'!F18</f>
        <v>4</v>
      </c>
      <c r="F71" s="13">
        <f>'1.2'!C18</f>
        <v>2</v>
      </c>
      <c r="G71" s="13">
        <f>'1.3'!C18</f>
        <v>2</v>
      </c>
      <c r="H71" s="13">
        <f>'1.4'!E19</f>
        <v>0</v>
      </c>
      <c r="I71" s="13">
        <f>'1.5'!E19</f>
        <v>0</v>
      </c>
    </row>
    <row r="72" spans="1:9" ht="16" customHeight="1">
      <c r="A72" s="107" t="s">
        <v>17</v>
      </c>
      <c r="B72" s="15">
        <f t="shared" si="6"/>
        <v>66.7</v>
      </c>
      <c r="C72" s="15">
        <f t="shared" si="9"/>
        <v>12</v>
      </c>
      <c r="D72" s="15">
        <f t="shared" si="8"/>
        <v>8</v>
      </c>
      <c r="E72" s="16">
        <f>'1.1'!F23</f>
        <v>4</v>
      </c>
      <c r="F72" s="13">
        <f>'1.2'!C23</f>
        <v>2</v>
      </c>
      <c r="G72" s="13">
        <f>'1.3'!C23</f>
        <v>0</v>
      </c>
      <c r="H72" s="13">
        <f>'1.4'!E24</f>
        <v>0</v>
      </c>
      <c r="I72" s="13">
        <f>'1.5'!E24</f>
        <v>2</v>
      </c>
    </row>
    <row r="73" spans="1:9" ht="16" customHeight="1">
      <c r="A73" s="107" t="s">
        <v>20</v>
      </c>
      <c r="B73" s="15">
        <f t="shared" si="6"/>
        <v>66.7</v>
      </c>
      <c r="C73" s="15">
        <f t="shared" si="9"/>
        <v>12</v>
      </c>
      <c r="D73" s="15">
        <f t="shared" si="8"/>
        <v>8</v>
      </c>
      <c r="E73" s="16">
        <f>'1.1'!F27</f>
        <v>4</v>
      </c>
      <c r="F73" s="13">
        <f>'1.2'!C27</f>
        <v>0</v>
      </c>
      <c r="G73" s="13">
        <f>'1.3'!C27</f>
        <v>0</v>
      </c>
      <c r="H73" s="13">
        <f>'1.4'!E28</f>
        <v>2</v>
      </c>
      <c r="I73" s="13">
        <f>'1.5'!E28</f>
        <v>2</v>
      </c>
    </row>
    <row r="74" spans="1:9" ht="16" customHeight="1">
      <c r="A74" s="107" t="s">
        <v>40</v>
      </c>
      <c r="B74" s="15">
        <f t="shared" si="6"/>
        <v>66.7</v>
      </c>
      <c r="C74" s="15">
        <f t="shared" si="9"/>
        <v>12</v>
      </c>
      <c r="D74" s="15">
        <f t="shared" si="8"/>
        <v>8</v>
      </c>
      <c r="E74" s="16">
        <f>'1.1'!F50</f>
        <v>4</v>
      </c>
      <c r="F74" s="13">
        <f>'1.2'!C50</f>
        <v>2</v>
      </c>
      <c r="G74" s="13">
        <f>'1.3'!C50</f>
        <v>2</v>
      </c>
      <c r="H74" s="13">
        <f>'1.4'!E51</f>
        <v>0</v>
      </c>
      <c r="I74" s="13">
        <f>'1.5'!E51</f>
        <v>0</v>
      </c>
    </row>
    <row r="75" spans="1:9" ht="16" customHeight="1">
      <c r="A75" s="107" t="s">
        <v>46</v>
      </c>
      <c r="B75" s="15">
        <f t="shared" si="6"/>
        <v>66.7</v>
      </c>
      <c r="C75" s="15">
        <f t="shared" si="9"/>
        <v>12</v>
      </c>
      <c r="D75" s="15">
        <f t="shared" si="8"/>
        <v>8</v>
      </c>
      <c r="E75" s="16">
        <f>'1.1'!F58</f>
        <v>4</v>
      </c>
      <c r="F75" s="13">
        <f>'1.2'!C58</f>
        <v>2</v>
      </c>
      <c r="G75" s="13">
        <f>'1.3'!C58</f>
        <v>2</v>
      </c>
      <c r="H75" s="13">
        <f>'1.4'!E59</f>
        <v>0</v>
      </c>
      <c r="I75" s="13">
        <f>'1.5'!E59</f>
        <v>0</v>
      </c>
    </row>
    <row r="76" spans="1:9" ht="16" customHeight="1">
      <c r="A76" s="107" t="s">
        <v>51</v>
      </c>
      <c r="B76" s="15">
        <f t="shared" si="6"/>
        <v>66.7</v>
      </c>
      <c r="C76" s="15">
        <f t="shared" si="9"/>
        <v>12</v>
      </c>
      <c r="D76" s="15">
        <f t="shared" si="8"/>
        <v>8</v>
      </c>
      <c r="E76" s="16">
        <f>'1.1'!F65</f>
        <v>2</v>
      </c>
      <c r="F76" s="13">
        <f>'1.2'!C65</f>
        <v>2</v>
      </c>
      <c r="G76" s="13">
        <f>'1.3'!C65</f>
        <v>2</v>
      </c>
      <c r="H76" s="13">
        <f>'1.4'!E66</f>
        <v>0</v>
      </c>
      <c r="I76" s="13">
        <f>'1.5'!E66</f>
        <v>2</v>
      </c>
    </row>
    <row r="77" spans="1:9" ht="16" customHeight="1">
      <c r="A77" s="107" t="s">
        <v>57</v>
      </c>
      <c r="B77" s="15">
        <f t="shared" si="6"/>
        <v>66.7</v>
      </c>
      <c r="C77" s="15">
        <f t="shared" si="9"/>
        <v>12</v>
      </c>
      <c r="D77" s="15">
        <f t="shared" si="8"/>
        <v>8</v>
      </c>
      <c r="E77" s="16">
        <f>'1.1'!F71</f>
        <v>4</v>
      </c>
      <c r="F77" s="13">
        <f>'1.2'!C71</f>
        <v>2</v>
      </c>
      <c r="G77" s="13">
        <f>'1.3'!C71</f>
        <v>2</v>
      </c>
      <c r="H77" s="13">
        <f>'1.4'!E72</f>
        <v>0</v>
      </c>
      <c r="I77" s="13">
        <f>'1.5'!E72</f>
        <v>0</v>
      </c>
    </row>
    <row r="78" spans="1:9" ht="16" customHeight="1">
      <c r="A78" s="107" t="s">
        <v>74</v>
      </c>
      <c r="B78" s="15">
        <f t="shared" si="6"/>
        <v>66.7</v>
      </c>
      <c r="C78" s="15">
        <f t="shared" si="9"/>
        <v>12</v>
      </c>
      <c r="D78" s="15">
        <f t="shared" si="8"/>
        <v>8</v>
      </c>
      <c r="E78" s="16">
        <f>'1.1'!F89</f>
        <v>4</v>
      </c>
      <c r="F78" s="13">
        <f>'1.2'!C89</f>
        <v>2</v>
      </c>
      <c r="G78" s="13">
        <f>'1.3'!C89</f>
        <v>2</v>
      </c>
      <c r="H78" s="13">
        <f>'1.4'!E90</f>
        <v>0</v>
      </c>
      <c r="I78" s="13">
        <f>'1.5'!E90</f>
        <v>0</v>
      </c>
    </row>
    <row r="79" spans="1:9" ht="16" customHeight="1">
      <c r="A79" s="101" t="s">
        <v>193</v>
      </c>
      <c r="B79" s="15"/>
      <c r="C79" s="15"/>
      <c r="D79" s="15"/>
      <c r="E79" s="16"/>
      <c r="F79" s="13"/>
      <c r="G79" s="13"/>
      <c r="H79" s="13"/>
      <c r="I79" s="13"/>
    </row>
    <row r="80" spans="1:9" ht="16" customHeight="1">
      <c r="A80" s="107" t="s">
        <v>11</v>
      </c>
      <c r="B80" s="15">
        <f t="shared" ref="B80:B88" si="10">ROUND(D80/C80*100,1)</f>
        <v>58.3</v>
      </c>
      <c r="C80" s="15">
        <f>$D$5</f>
        <v>12</v>
      </c>
      <c r="D80" s="15">
        <f t="shared" ref="D80:D88" si="11">SUM(E80:I80)</f>
        <v>7</v>
      </c>
      <c r="E80" s="16">
        <f>'1.1'!F17</f>
        <v>4</v>
      </c>
      <c r="F80" s="13">
        <f>'1.2'!C17</f>
        <v>0</v>
      </c>
      <c r="G80" s="13">
        <f>'1.3'!C17</f>
        <v>2</v>
      </c>
      <c r="H80" s="13">
        <f>'1.4'!E18</f>
        <v>0</v>
      </c>
      <c r="I80" s="13">
        <f>'1.5'!E18</f>
        <v>1</v>
      </c>
    </row>
    <row r="81" spans="1:9" ht="16" customHeight="1">
      <c r="A81" s="107" t="s">
        <v>66</v>
      </c>
      <c r="B81" s="15">
        <f t="shared" si="10"/>
        <v>58.3</v>
      </c>
      <c r="C81" s="15">
        <f>$D$5</f>
        <v>12</v>
      </c>
      <c r="D81" s="15">
        <f t="shared" si="11"/>
        <v>7</v>
      </c>
      <c r="E81" s="16">
        <f>'1.1'!F80</f>
        <v>4</v>
      </c>
      <c r="F81" s="13">
        <f>'1.2'!C80</f>
        <v>0</v>
      </c>
      <c r="G81" s="13">
        <f>'1.3'!C80</f>
        <v>2</v>
      </c>
      <c r="H81" s="13">
        <f>'1.4'!E81</f>
        <v>0</v>
      </c>
      <c r="I81" s="13">
        <f>'1.5'!E81</f>
        <v>1</v>
      </c>
    </row>
    <row r="82" spans="1:9" ht="16" customHeight="1">
      <c r="A82" s="107" t="s">
        <v>7</v>
      </c>
      <c r="B82" s="15">
        <f t="shared" si="10"/>
        <v>54.2</v>
      </c>
      <c r="C82" s="15">
        <f>$D$5</f>
        <v>12</v>
      </c>
      <c r="D82" s="15">
        <f t="shared" si="11"/>
        <v>6.5</v>
      </c>
      <c r="E82" s="16">
        <f>'1.1'!F13</f>
        <v>0</v>
      </c>
      <c r="F82" s="13">
        <f>'1.2'!C13</f>
        <v>2</v>
      </c>
      <c r="G82" s="13">
        <f>'1.3'!C13</f>
        <v>2</v>
      </c>
      <c r="H82" s="13">
        <f>'1.4'!E14</f>
        <v>0.5</v>
      </c>
      <c r="I82" s="13">
        <f>'1.5'!E14</f>
        <v>2</v>
      </c>
    </row>
    <row r="83" spans="1:9" ht="16" customHeight="1">
      <c r="A83" s="107" t="s">
        <v>545</v>
      </c>
      <c r="B83" s="15">
        <f t="shared" si="10"/>
        <v>50</v>
      </c>
      <c r="C83" s="15">
        <f>$D$5-I63</f>
        <v>10</v>
      </c>
      <c r="D83" s="15">
        <f t="shared" si="11"/>
        <v>5</v>
      </c>
      <c r="E83" s="16">
        <f>'1.1'!F24</f>
        <v>4</v>
      </c>
      <c r="F83" s="13">
        <f>'1.2'!C24</f>
        <v>0</v>
      </c>
      <c r="G83" s="13">
        <f>'1.3'!C24</f>
        <v>0</v>
      </c>
      <c r="H83" s="13">
        <f>'1.4'!E25</f>
        <v>1</v>
      </c>
      <c r="I83" s="13" t="str">
        <f>'1.5'!E25</f>
        <v>- *</v>
      </c>
    </row>
    <row r="84" spans="1:9" ht="16" customHeight="1">
      <c r="A84" s="107" t="s">
        <v>23</v>
      </c>
      <c r="B84" s="15">
        <f t="shared" si="10"/>
        <v>50</v>
      </c>
      <c r="C84" s="15">
        <f>$D$5</f>
        <v>12</v>
      </c>
      <c r="D84" s="15">
        <f t="shared" si="11"/>
        <v>6</v>
      </c>
      <c r="E84" s="16">
        <f>'1.1'!F30</f>
        <v>4</v>
      </c>
      <c r="F84" s="13">
        <f>'1.2'!C30</f>
        <v>2</v>
      </c>
      <c r="G84" s="13">
        <f>'1.3'!C30</f>
        <v>0</v>
      </c>
      <c r="H84" s="13">
        <f>'1.4'!E31</f>
        <v>0</v>
      </c>
      <c r="I84" s="13">
        <f>'1.5'!E31</f>
        <v>0</v>
      </c>
    </row>
    <row r="85" spans="1:9" ht="16" customHeight="1">
      <c r="A85" s="107" t="s">
        <v>37</v>
      </c>
      <c r="B85" s="15">
        <f t="shared" si="10"/>
        <v>50</v>
      </c>
      <c r="C85" s="15">
        <f>$D$5</f>
        <v>12</v>
      </c>
      <c r="D85" s="15">
        <f t="shared" si="11"/>
        <v>6</v>
      </c>
      <c r="E85" s="16">
        <f>'1.1'!F47</f>
        <v>2</v>
      </c>
      <c r="F85" s="13">
        <f>'1.2'!C47</f>
        <v>2</v>
      </c>
      <c r="G85" s="13">
        <f>'1.3'!C47</f>
        <v>2</v>
      </c>
      <c r="H85" s="13">
        <f>'1.4'!E48</f>
        <v>0</v>
      </c>
      <c r="I85" s="13">
        <f>'1.5'!E48</f>
        <v>0</v>
      </c>
    </row>
    <row r="86" spans="1:9" ht="16" customHeight="1">
      <c r="A86" s="107" t="s">
        <v>547</v>
      </c>
      <c r="B86" s="15">
        <f t="shared" si="10"/>
        <v>50</v>
      </c>
      <c r="C86" s="15">
        <f>$D$5</f>
        <v>12</v>
      </c>
      <c r="D86" s="15">
        <f t="shared" si="11"/>
        <v>6</v>
      </c>
      <c r="E86" s="16">
        <f>'1.1'!F51</f>
        <v>4</v>
      </c>
      <c r="F86" s="13">
        <f>'1.2'!C51</f>
        <v>0</v>
      </c>
      <c r="G86" s="13">
        <f>'1.3'!C51</f>
        <v>2</v>
      </c>
      <c r="H86" s="13">
        <f>'1.4'!E52</f>
        <v>0</v>
      </c>
      <c r="I86" s="13">
        <f>'1.5'!E52</f>
        <v>0</v>
      </c>
    </row>
    <row r="87" spans="1:9" ht="16" customHeight="1">
      <c r="A87" s="107" t="s">
        <v>56</v>
      </c>
      <c r="B87" s="15">
        <f t="shared" si="10"/>
        <v>50</v>
      </c>
      <c r="C87" s="15">
        <f>$D$5</f>
        <v>12</v>
      </c>
      <c r="D87" s="15">
        <f t="shared" si="11"/>
        <v>6</v>
      </c>
      <c r="E87" s="16">
        <f>'1.1'!F70</f>
        <v>2</v>
      </c>
      <c r="F87" s="13">
        <f>'1.2'!C70</f>
        <v>0</v>
      </c>
      <c r="G87" s="13">
        <f>'1.3'!C70</f>
        <v>2</v>
      </c>
      <c r="H87" s="13">
        <f>'1.4'!E71</f>
        <v>0</v>
      </c>
      <c r="I87" s="13">
        <f>'1.5'!E71</f>
        <v>2</v>
      </c>
    </row>
    <row r="88" spans="1:9" ht="16" customHeight="1">
      <c r="A88" s="107" t="s">
        <v>64</v>
      </c>
      <c r="B88" s="15">
        <f t="shared" si="10"/>
        <v>50</v>
      </c>
      <c r="C88" s="15">
        <f>$D$5</f>
        <v>12</v>
      </c>
      <c r="D88" s="15">
        <f t="shared" si="11"/>
        <v>6</v>
      </c>
      <c r="E88" s="16">
        <f>'1.1'!F78</f>
        <v>2</v>
      </c>
      <c r="F88" s="13">
        <f>'1.2'!C78</f>
        <v>2</v>
      </c>
      <c r="G88" s="13">
        <f>'1.3'!C78</f>
        <v>2</v>
      </c>
      <c r="H88" s="13">
        <f>'1.4'!E79</f>
        <v>0</v>
      </c>
      <c r="I88" s="13">
        <f>'1.5'!E79</f>
        <v>0</v>
      </c>
    </row>
    <row r="89" spans="1:9" ht="16" customHeight="1">
      <c r="A89" s="101" t="s">
        <v>194</v>
      </c>
      <c r="B89" s="15"/>
      <c r="C89" s="15"/>
      <c r="D89" s="15"/>
      <c r="E89" s="16"/>
      <c r="F89" s="13"/>
      <c r="G89" s="13"/>
      <c r="H89" s="13"/>
      <c r="I89" s="13"/>
    </row>
    <row r="90" spans="1:9" ht="16" customHeight="1">
      <c r="A90" s="107" t="s">
        <v>38</v>
      </c>
      <c r="B90" s="15">
        <f>ROUND(D90/C90*100,1)</f>
        <v>37.5</v>
      </c>
      <c r="C90" s="15">
        <f>$D$5</f>
        <v>12</v>
      </c>
      <c r="D90" s="15">
        <f>SUM(E90:I90)</f>
        <v>4.5</v>
      </c>
      <c r="E90" s="16">
        <f>'1.1'!F48</f>
        <v>0</v>
      </c>
      <c r="F90" s="13">
        <f>'1.2'!C48</f>
        <v>2</v>
      </c>
      <c r="G90" s="13">
        <f>'1.3'!C48</f>
        <v>2</v>
      </c>
      <c r="H90" s="13">
        <f>'1.4'!E49</f>
        <v>0</v>
      </c>
      <c r="I90" s="13">
        <f>'1.5'!E49</f>
        <v>0.5</v>
      </c>
    </row>
    <row r="91" spans="1:9" ht="16" customHeight="1">
      <c r="A91" s="107" t="s">
        <v>41</v>
      </c>
      <c r="B91" s="15">
        <f>ROUND(D91/C91*100,1)</f>
        <v>33.299999999999997</v>
      </c>
      <c r="C91" s="15">
        <f>$D$5</f>
        <v>12</v>
      </c>
      <c r="D91" s="15">
        <f>SUM(E91:I91)</f>
        <v>4</v>
      </c>
      <c r="E91" s="16">
        <f>'1.1'!F52</f>
        <v>0</v>
      </c>
      <c r="F91" s="13">
        <f>'1.2'!C52</f>
        <v>2</v>
      </c>
      <c r="G91" s="13">
        <f>'1.3'!C52</f>
        <v>2</v>
      </c>
      <c r="H91" s="13">
        <f>'1.4'!E53</f>
        <v>0</v>
      </c>
      <c r="I91" s="13">
        <f>'1.5'!E53</f>
        <v>0</v>
      </c>
    </row>
    <row r="92" spans="1:9" ht="16" customHeight="1">
      <c r="A92" s="107" t="s">
        <v>45</v>
      </c>
      <c r="B92" s="15">
        <f>ROUND(D92/C92*100,1)</f>
        <v>33.299999999999997</v>
      </c>
      <c r="C92" s="15">
        <f>$D$5</f>
        <v>12</v>
      </c>
      <c r="D92" s="15">
        <f>SUM(E92:I92)</f>
        <v>4</v>
      </c>
      <c r="E92" s="16">
        <f>'1.1'!F57</f>
        <v>2</v>
      </c>
      <c r="F92" s="13">
        <f>'1.2'!C57</f>
        <v>0</v>
      </c>
      <c r="G92" s="13">
        <f>'1.3'!C57</f>
        <v>2</v>
      </c>
      <c r="H92" s="13">
        <f>'1.4'!E58</f>
        <v>0</v>
      </c>
      <c r="I92" s="13">
        <f>'1.5'!E58</f>
        <v>0</v>
      </c>
    </row>
    <row r="93" spans="1:9" ht="16" customHeight="1">
      <c r="A93" s="107" t="s">
        <v>52</v>
      </c>
      <c r="B93" s="15">
        <f>ROUND(D93/C93*100,1)</f>
        <v>33.299999999999997</v>
      </c>
      <c r="C93" s="15">
        <f>$D$5</f>
        <v>12</v>
      </c>
      <c r="D93" s="15">
        <f>SUM(E93:I93)</f>
        <v>4</v>
      </c>
      <c r="E93" s="16">
        <f>'1.1'!F66</f>
        <v>4</v>
      </c>
      <c r="F93" s="13">
        <f>'1.2'!C66</f>
        <v>0</v>
      </c>
      <c r="G93" s="13">
        <f>'1.3'!C66</f>
        <v>0</v>
      </c>
      <c r="H93" s="13">
        <f>'1.4'!E67</f>
        <v>0</v>
      </c>
      <c r="I93" s="13">
        <f>'1.5'!E67</f>
        <v>0</v>
      </c>
    </row>
    <row r="94" spans="1:9" ht="16" customHeight="1">
      <c r="A94" s="107" t="s">
        <v>48</v>
      </c>
      <c r="B94" s="15">
        <f>ROUND(D94/C94*100,1)</f>
        <v>25</v>
      </c>
      <c r="C94" s="15">
        <f>$D$5</f>
        <v>12</v>
      </c>
      <c r="D94" s="15">
        <f>SUM(E94:I94)</f>
        <v>3</v>
      </c>
      <c r="E94" s="16">
        <f>'1.1'!F61</f>
        <v>2</v>
      </c>
      <c r="F94" s="13">
        <f>'1.2'!C61</f>
        <v>0</v>
      </c>
      <c r="G94" s="13">
        <f>'1.3'!C61</f>
        <v>0</v>
      </c>
      <c r="H94" s="13">
        <f>'1.4'!E62</f>
        <v>0</v>
      </c>
      <c r="I94" s="13">
        <f>'1.5'!E62</f>
        <v>1</v>
      </c>
    </row>
    <row r="95" spans="1:9">
      <c r="A95" s="29" t="s">
        <v>671</v>
      </c>
      <c r="D95" s="27"/>
    </row>
  </sheetData>
  <sortState xmlns:xlrd2="http://schemas.microsoft.com/office/spreadsheetml/2017/richdata2" ref="A7:I94">
    <sortCondition descending="1" ref="B7:B94"/>
  </sortState>
  <pageMargins left="0.70866141732283505" right="0.70866141732283505" top="0.74803149606299202" bottom="0.74803149606299202" header="0.31496062992126" footer="0.31496062992126"/>
  <pageSetup paperSize="9" scale="75" fitToHeight="0" orientation="landscape" r:id="rId1"/>
  <headerFooter scaleWithDoc="0">
    <oddFooter>&amp;C&amp;"Times New Roman,обычный"&amp;A&amp;R&amp;P</oddFooter>
  </headerFooter>
  <ignoredErrors>
    <ignoredError sqref="C83 C7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9"/>
  <sheetViews>
    <sheetView tabSelected="1" zoomScaleNormal="100" zoomScalePageLayoutView="80" workbookViewId="0">
      <pane ySplit="4" topLeftCell="A5" activePane="bottomLeft" state="frozen"/>
      <selection activeCell="G33" sqref="G33:G2385"/>
      <selection pane="bottomLeft"/>
    </sheetView>
  </sheetViews>
  <sheetFormatPr baseColWidth="10" defaultColWidth="8.83203125" defaultRowHeight="15"/>
  <cols>
    <col min="1" max="1" width="24.83203125" customWidth="1"/>
    <col min="2" max="3" width="12.83203125" customWidth="1"/>
    <col min="4" max="4" width="11.5" customWidth="1"/>
    <col min="5" max="5" width="20.83203125" customWidth="1"/>
    <col min="6" max="6" width="18.83203125" customWidth="1"/>
    <col min="7" max="7" width="20.83203125" customWidth="1"/>
    <col min="8" max="8" width="25.83203125" customWidth="1"/>
    <col min="9" max="9" width="28.83203125" customWidth="1"/>
  </cols>
  <sheetData>
    <row r="1" spans="1:9" ht="30" customHeight="1">
      <c r="A1" s="36" t="s">
        <v>435</v>
      </c>
      <c r="B1" s="37"/>
      <c r="C1" s="37"/>
      <c r="D1" s="37"/>
      <c r="E1" s="37"/>
      <c r="F1" s="37"/>
      <c r="G1" s="37"/>
      <c r="H1" s="37"/>
      <c r="I1" s="37"/>
    </row>
    <row r="2" spans="1:9" ht="16" customHeight="1">
      <c r="A2" s="38" t="s">
        <v>666</v>
      </c>
      <c r="B2" s="39"/>
      <c r="C2" s="39"/>
      <c r="D2" s="39"/>
      <c r="E2" s="39"/>
      <c r="F2" s="39"/>
      <c r="G2" s="39"/>
      <c r="H2" s="39"/>
      <c r="I2" s="39"/>
    </row>
    <row r="3" spans="1:9" ht="128" customHeight="1">
      <c r="A3" s="102" t="s">
        <v>659</v>
      </c>
      <c r="B3" s="103" t="s">
        <v>105</v>
      </c>
      <c r="C3" s="103" t="s">
        <v>103</v>
      </c>
      <c r="D3" s="103" t="s">
        <v>102</v>
      </c>
      <c r="E3" s="106" t="s">
        <v>430</v>
      </c>
      <c r="F3" s="106" t="s">
        <v>431</v>
      </c>
      <c r="G3" s="106" t="s">
        <v>432</v>
      </c>
      <c r="H3" s="106" t="s">
        <v>433</v>
      </c>
      <c r="I3" s="102" t="s">
        <v>434</v>
      </c>
    </row>
    <row r="4" spans="1:9" ht="16" customHeight="1">
      <c r="A4" s="34" t="s">
        <v>82</v>
      </c>
      <c r="B4" s="11" t="s">
        <v>104</v>
      </c>
      <c r="C4" s="11" t="s">
        <v>83</v>
      </c>
      <c r="D4" s="11" t="s">
        <v>83</v>
      </c>
      <c r="E4" s="10" t="s">
        <v>83</v>
      </c>
      <c r="F4" s="12" t="s">
        <v>83</v>
      </c>
      <c r="G4" s="12" t="s">
        <v>83</v>
      </c>
      <c r="H4" s="12" t="s">
        <v>83</v>
      </c>
      <c r="I4" s="12" t="s">
        <v>83</v>
      </c>
    </row>
    <row r="5" spans="1:9" s="9" customFormat="1" ht="15" customHeight="1">
      <c r="A5" s="35" t="s">
        <v>103</v>
      </c>
      <c r="B5" s="17"/>
      <c r="C5" s="17"/>
      <c r="D5" s="18">
        <f>SUM(E5:I5)</f>
        <v>12</v>
      </c>
      <c r="E5" s="19">
        <v>4</v>
      </c>
      <c r="F5" s="20">
        <v>2</v>
      </c>
      <c r="G5" s="20">
        <v>2</v>
      </c>
      <c r="H5" s="20">
        <v>2</v>
      </c>
      <c r="I5" s="20">
        <v>2</v>
      </c>
    </row>
    <row r="6" spans="1:9" ht="16" customHeight="1">
      <c r="A6" s="21" t="s">
        <v>0</v>
      </c>
      <c r="B6" s="21"/>
      <c r="C6" s="21"/>
      <c r="D6" s="22"/>
      <c r="E6" s="22"/>
      <c r="F6" s="23"/>
      <c r="G6" s="23"/>
      <c r="H6" s="23"/>
      <c r="I6" s="23"/>
    </row>
    <row r="7" spans="1:9" ht="16" customHeight="1">
      <c r="A7" s="107" t="s">
        <v>1</v>
      </c>
      <c r="B7" s="15">
        <f>ROUND(D7/C7*100,1)</f>
        <v>83.3</v>
      </c>
      <c r="C7" s="15">
        <f>$D$5</f>
        <v>12</v>
      </c>
      <c r="D7" s="15">
        <f>SUM(E7:I7)</f>
        <v>10</v>
      </c>
      <c r="E7" s="16">
        <f>'1.1'!F7</f>
        <v>4</v>
      </c>
      <c r="F7" s="13">
        <f>'1.2'!C7</f>
        <v>2</v>
      </c>
      <c r="G7" s="13">
        <f>'1.3'!C7</f>
        <v>2</v>
      </c>
      <c r="H7" s="13">
        <f>'1.4'!E8</f>
        <v>1</v>
      </c>
      <c r="I7" s="13">
        <f>'1.5'!E8</f>
        <v>1</v>
      </c>
    </row>
    <row r="8" spans="1:9" ht="16" customHeight="1">
      <c r="A8" s="107" t="s">
        <v>2</v>
      </c>
      <c r="B8" s="15">
        <f t="shared" ref="B8:B71" si="0">ROUND(D8/C8*100,1)</f>
        <v>100</v>
      </c>
      <c r="C8" s="15">
        <f>$D$5</f>
        <v>12</v>
      </c>
      <c r="D8" s="15">
        <f>SUM(E8:I8)</f>
        <v>12</v>
      </c>
      <c r="E8" s="16">
        <f>'1.1'!F8</f>
        <v>4</v>
      </c>
      <c r="F8" s="13">
        <f>'1.2'!C8</f>
        <v>2</v>
      </c>
      <c r="G8" s="13">
        <f>'1.3'!C8</f>
        <v>2</v>
      </c>
      <c r="H8" s="13">
        <f>'1.4'!E9</f>
        <v>2</v>
      </c>
      <c r="I8" s="13">
        <f>'1.5'!E9</f>
        <v>2</v>
      </c>
    </row>
    <row r="9" spans="1:9" ht="16" customHeight="1">
      <c r="A9" s="107" t="s">
        <v>3</v>
      </c>
      <c r="B9" s="15">
        <f t="shared" si="0"/>
        <v>100</v>
      </c>
      <c r="C9" s="15">
        <f t="shared" ref="C9:C72" si="1">$D$5</f>
        <v>12</v>
      </c>
      <c r="D9" s="15">
        <f t="shared" ref="D9:D24" si="2">SUM(E9:I9)</f>
        <v>12</v>
      </c>
      <c r="E9" s="16">
        <f>'1.1'!F9</f>
        <v>4</v>
      </c>
      <c r="F9" s="13">
        <f>'1.2'!C9</f>
        <v>2</v>
      </c>
      <c r="G9" s="13">
        <f>'1.3'!C9</f>
        <v>2</v>
      </c>
      <c r="H9" s="13">
        <f>'1.4'!E10</f>
        <v>2</v>
      </c>
      <c r="I9" s="13">
        <f>'1.5'!E10</f>
        <v>2</v>
      </c>
    </row>
    <row r="10" spans="1:9" ht="16" customHeight="1">
      <c r="A10" s="107" t="s">
        <v>4</v>
      </c>
      <c r="B10" s="15">
        <f t="shared" si="0"/>
        <v>100</v>
      </c>
      <c r="C10" s="15">
        <f t="shared" si="1"/>
        <v>12</v>
      </c>
      <c r="D10" s="15">
        <f t="shared" si="2"/>
        <v>12</v>
      </c>
      <c r="E10" s="16">
        <f>'1.1'!F10</f>
        <v>4</v>
      </c>
      <c r="F10" s="13">
        <f>'1.2'!C10</f>
        <v>2</v>
      </c>
      <c r="G10" s="13">
        <f>'1.3'!C10</f>
        <v>2</v>
      </c>
      <c r="H10" s="13">
        <f>'1.4'!E11</f>
        <v>2</v>
      </c>
      <c r="I10" s="13">
        <f>'1.5'!E11</f>
        <v>2</v>
      </c>
    </row>
    <row r="11" spans="1:9" ht="16" customHeight="1">
      <c r="A11" s="107" t="s">
        <v>5</v>
      </c>
      <c r="B11" s="15">
        <f t="shared" si="0"/>
        <v>100</v>
      </c>
      <c r="C11" s="15">
        <f t="shared" si="1"/>
        <v>12</v>
      </c>
      <c r="D11" s="15">
        <f t="shared" si="2"/>
        <v>12</v>
      </c>
      <c r="E11" s="16">
        <f>'1.1'!F11</f>
        <v>4</v>
      </c>
      <c r="F11" s="13">
        <f>'1.2'!C11</f>
        <v>2</v>
      </c>
      <c r="G11" s="13">
        <f>'1.3'!C11</f>
        <v>2</v>
      </c>
      <c r="H11" s="13">
        <f>'1.4'!E12</f>
        <v>2</v>
      </c>
      <c r="I11" s="13">
        <f>'1.5'!E12</f>
        <v>2</v>
      </c>
    </row>
    <row r="12" spans="1:9" ht="16" customHeight="1">
      <c r="A12" s="107" t="s">
        <v>6</v>
      </c>
      <c r="B12" s="15">
        <f t="shared" si="0"/>
        <v>100</v>
      </c>
      <c r="C12" s="15">
        <f t="shared" si="1"/>
        <v>12</v>
      </c>
      <c r="D12" s="15">
        <f t="shared" si="2"/>
        <v>12</v>
      </c>
      <c r="E12" s="16">
        <f>'1.1'!F12</f>
        <v>4</v>
      </c>
      <c r="F12" s="13">
        <f>'1.2'!C12</f>
        <v>2</v>
      </c>
      <c r="G12" s="13">
        <f>'1.3'!C12</f>
        <v>2</v>
      </c>
      <c r="H12" s="13">
        <f>'1.4'!E13</f>
        <v>2</v>
      </c>
      <c r="I12" s="13">
        <f>'1.5'!E13</f>
        <v>2</v>
      </c>
    </row>
    <row r="13" spans="1:9" ht="16" customHeight="1">
      <c r="A13" s="107" t="s">
        <v>7</v>
      </c>
      <c r="B13" s="15">
        <f t="shared" si="0"/>
        <v>54.2</v>
      </c>
      <c r="C13" s="15">
        <f t="shared" si="1"/>
        <v>12</v>
      </c>
      <c r="D13" s="15">
        <f t="shared" si="2"/>
        <v>6.5</v>
      </c>
      <c r="E13" s="16">
        <f>'1.1'!F13</f>
        <v>0</v>
      </c>
      <c r="F13" s="13">
        <f>'1.2'!C13</f>
        <v>2</v>
      </c>
      <c r="G13" s="13">
        <f>'1.3'!C13</f>
        <v>2</v>
      </c>
      <c r="H13" s="13">
        <f>'1.4'!E14</f>
        <v>0.5</v>
      </c>
      <c r="I13" s="13">
        <f>'1.5'!E14</f>
        <v>2</v>
      </c>
    </row>
    <row r="14" spans="1:9" s="7" customFormat="1" ht="16" customHeight="1">
      <c r="A14" s="107" t="s">
        <v>8</v>
      </c>
      <c r="B14" s="15">
        <f t="shared" si="0"/>
        <v>100</v>
      </c>
      <c r="C14" s="15">
        <f t="shared" si="1"/>
        <v>12</v>
      </c>
      <c r="D14" s="15">
        <f t="shared" si="2"/>
        <v>12</v>
      </c>
      <c r="E14" s="16">
        <f>'1.1'!F14</f>
        <v>4</v>
      </c>
      <c r="F14" s="13">
        <f>'1.2'!C14</f>
        <v>2</v>
      </c>
      <c r="G14" s="13">
        <f>'1.3'!C14</f>
        <v>2</v>
      </c>
      <c r="H14" s="13">
        <f>'1.4'!E15</f>
        <v>2</v>
      </c>
      <c r="I14" s="13">
        <f>'1.5'!E15</f>
        <v>2</v>
      </c>
    </row>
    <row r="15" spans="1:9" ht="16" customHeight="1">
      <c r="A15" s="107" t="s">
        <v>9</v>
      </c>
      <c r="B15" s="15">
        <f t="shared" si="0"/>
        <v>91.7</v>
      </c>
      <c r="C15" s="15">
        <f t="shared" si="1"/>
        <v>12</v>
      </c>
      <c r="D15" s="15">
        <f t="shared" si="2"/>
        <v>11</v>
      </c>
      <c r="E15" s="16">
        <f>'1.1'!F15</f>
        <v>4</v>
      </c>
      <c r="F15" s="13">
        <f>'1.2'!C15</f>
        <v>2</v>
      </c>
      <c r="G15" s="13">
        <f>'1.3'!C15</f>
        <v>2</v>
      </c>
      <c r="H15" s="13">
        <f>'1.4'!E16</f>
        <v>1</v>
      </c>
      <c r="I15" s="13">
        <f>'1.5'!E16</f>
        <v>2</v>
      </c>
    </row>
    <row r="16" spans="1:9" ht="16" customHeight="1">
      <c r="A16" s="107" t="s">
        <v>10</v>
      </c>
      <c r="B16" s="15">
        <f t="shared" si="0"/>
        <v>100</v>
      </c>
      <c r="C16" s="15">
        <f t="shared" si="1"/>
        <v>12</v>
      </c>
      <c r="D16" s="15">
        <f t="shared" si="2"/>
        <v>12</v>
      </c>
      <c r="E16" s="16">
        <f>'1.1'!F16</f>
        <v>4</v>
      </c>
      <c r="F16" s="13">
        <f>'1.2'!C16</f>
        <v>2</v>
      </c>
      <c r="G16" s="13">
        <f>'1.3'!C16</f>
        <v>2</v>
      </c>
      <c r="H16" s="13">
        <f>'1.4'!E17</f>
        <v>2</v>
      </c>
      <c r="I16" s="13">
        <f>'1.5'!E17</f>
        <v>2</v>
      </c>
    </row>
    <row r="17" spans="1:9" ht="16" customHeight="1">
      <c r="A17" s="107" t="s">
        <v>11</v>
      </c>
      <c r="B17" s="15">
        <f t="shared" si="0"/>
        <v>58.3</v>
      </c>
      <c r="C17" s="15">
        <f t="shared" si="1"/>
        <v>12</v>
      </c>
      <c r="D17" s="15">
        <f t="shared" si="2"/>
        <v>7</v>
      </c>
      <c r="E17" s="16">
        <f>'1.1'!F17</f>
        <v>4</v>
      </c>
      <c r="F17" s="13">
        <f>'1.2'!C17</f>
        <v>0</v>
      </c>
      <c r="G17" s="13">
        <f>'1.3'!C17</f>
        <v>2</v>
      </c>
      <c r="H17" s="13">
        <f>'1.4'!E18</f>
        <v>0</v>
      </c>
      <c r="I17" s="13">
        <f>'1.5'!E18</f>
        <v>1</v>
      </c>
    </row>
    <row r="18" spans="1:9" s="7" customFormat="1" ht="16" customHeight="1">
      <c r="A18" s="107" t="s">
        <v>12</v>
      </c>
      <c r="B18" s="15">
        <f t="shared" si="0"/>
        <v>66.7</v>
      </c>
      <c r="C18" s="15">
        <f t="shared" si="1"/>
        <v>12</v>
      </c>
      <c r="D18" s="15">
        <f t="shared" si="2"/>
        <v>8</v>
      </c>
      <c r="E18" s="16">
        <f>'1.1'!F18</f>
        <v>4</v>
      </c>
      <c r="F18" s="13">
        <f>'1.2'!C18</f>
        <v>2</v>
      </c>
      <c r="G18" s="13">
        <f>'1.3'!C18</f>
        <v>2</v>
      </c>
      <c r="H18" s="13">
        <f>'1.4'!E19</f>
        <v>0</v>
      </c>
      <c r="I18" s="13">
        <f>'1.5'!E19</f>
        <v>0</v>
      </c>
    </row>
    <row r="19" spans="1:9" ht="16" customHeight="1">
      <c r="A19" s="107" t="s">
        <v>13</v>
      </c>
      <c r="B19" s="15">
        <f t="shared" si="0"/>
        <v>83.3</v>
      </c>
      <c r="C19" s="15">
        <f t="shared" si="1"/>
        <v>12</v>
      </c>
      <c r="D19" s="15">
        <f t="shared" si="2"/>
        <v>10</v>
      </c>
      <c r="E19" s="16">
        <f>'1.1'!F19</f>
        <v>2</v>
      </c>
      <c r="F19" s="13">
        <f>'1.2'!C19</f>
        <v>2</v>
      </c>
      <c r="G19" s="13">
        <f>'1.3'!C19</f>
        <v>2</v>
      </c>
      <c r="H19" s="13">
        <f>'1.4'!E20</f>
        <v>2</v>
      </c>
      <c r="I19" s="13">
        <f>'1.5'!E20</f>
        <v>2</v>
      </c>
    </row>
    <row r="20" spans="1:9" ht="16" customHeight="1">
      <c r="A20" s="107" t="s">
        <v>14</v>
      </c>
      <c r="B20" s="15">
        <f t="shared" si="0"/>
        <v>75</v>
      </c>
      <c r="C20" s="15">
        <f t="shared" si="1"/>
        <v>12</v>
      </c>
      <c r="D20" s="15">
        <f t="shared" si="2"/>
        <v>9</v>
      </c>
      <c r="E20" s="16">
        <f>'1.1'!F20</f>
        <v>2</v>
      </c>
      <c r="F20" s="13">
        <f>'1.2'!C20</f>
        <v>2</v>
      </c>
      <c r="G20" s="13">
        <f>'1.3'!C20</f>
        <v>2</v>
      </c>
      <c r="H20" s="13">
        <f>'1.4'!E21</f>
        <v>1</v>
      </c>
      <c r="I20" s="13">
        <f>'1.5'!E21</f>
        <v>2</v>
      </c>
    </row>
    <row r="21" spans="1:9" ht="16" customHeight="1">
      <c r="A21" s="107" t="s">
        <v>15</v>
      </c>
      <c r="B21" s="15">
        <f t="shared" si="0"/>
        <v>91.7</v>
      </c>
      <c r="C21" s="15">
        <f t="shared" si="1"/>
        <v>12</v>
      </c>
      <c r="D21" s="15">
        <f t="shared" si="2"/>
        <v>11</v>
      </c>
      <c r="E21" s="16">
        <f>'1.1'!F21</f>
        <v>4</v>
      </c>
      <c r="F21" s="13">
        <f>'1.2'!C21</f>
        <v>2</v>
      </c>
      <c r="G21" s="13">
        <f>'1.3'!C21</f>
        <v>2</v>
      </c>
      <c r="H21" s="13">
        <f>'1.4'!E22</f>
        <v>2</v>
      </c>
      <c r="I21" s="13">
        <f>'1.5'!E22</f>
        <v>1</v>
      </c>
    </row>
    <row r="22" spans="1:9" ht="16" customHeight="1">
      <c r="A22" s="107" t="s">
        <v>16</v>
      </c>
      <c r="B22" s="15">
        <f t="shared" si="0"/>
        <v>83.3</v>
      </c>
      <c r="C22" s="15">
        <f t="shared" si="1"/>
        <v>12</v>
      </c>
      <c r="D22" s="15">
        <f t="shared" si="2"/>
        <v>10</v>
      </c>
      <c r="E22" s="16">
        <f>'1.1'!F22</f>
        <v>4</v>
      </c>
      <c r="F22" s="13">
        <f>'1.2'!C22</f>
        <v>2</v>
      </c>
      <c r="G22" s="13">
        <f>'1.3'!C22</f>
        <v>2</v>
      </c>
      <c r="H22" s="13">
        <f>'1.4'!E23</f>
        <v>1</v>
      </c>
      <c r="I22" s="13">
        <f>'1.5'!E23</f>
        <v>1</v>
      </c>
    </row>
    <row r="23" spans="1:9" ht="16" customHeight="1">
      <c r="A23" s="107" t="s">
        <v>17</v>
      </c>
      <c r="B23" s="15">
        <f t="shared" si="0"/>
        <v>66.7</v>
      </c>
      <c r="C23" s="15">
        <f t="shared" si="1"/>
        <v>12</v>
      </c>
      <c r="D23" s="15">
        <f t="shared" si="2"/>
        <v>8</v>
      </c>
      <c r="E23" s="16">
        <f>'1.1'!F23</f>
        <v>4</v>
      </c>
      <c r="F23" s="13">
        <f>'1.2'!C23</f>
        <v>2</v>
      </c>
      <c r="G23" s="13">
        <f>'1.3'!C23</f>
        <v>0</v>
      </c>
      <c r="H23" s="13">
        <f>'1.4'!E24</f>
        <v>0</v>
      </c>
      <c r="I23" s="13">
        <f>'1.5'!E24</f>
        <v>2</v>
      </c>
    </row>
    <row r="24" spans="1:9" ht="16" customHeight="1">
      <c r="A24" s="107" t="s">
        <v>545</v>
      </c>
      <c r="B24" s="15">
        <f t="shared" si="0"/>
        <v>50</v>
      </c>
      <c r="C24" s="15">
        <f>$D$5-I5</f>
        <v>10</v>
      </c>
      <c r="D24" s="15">
        <f t="shared" si="2"/>
        <v>5</v>
      </c>
      <c r="E24" s="16">
        <f>'1.1'!F24</f>
        <v>4</v>
      </c>
      <c r="F24" s="13">
        <f>'1.2'!C24</f>
        <v>0</v>
      </c>
      <c r="G24" s="13">
        <f>'1.3'!C24</f>
        <v>0</v>
      </c>
      <c r="H24" s="13">
        <f>'1.4'!E25</f>
        <v>1</v>
      </c>
      <c r="I24" s="13" t="str">
        <f>'1.5'!E25</f>
        <v>- *</v>
      </c>
    </row>
    <row r="25" spans="1:9" ht="16" customHeight="1">
      <c r="A25" s="120" t="s">
        <v>18</v>
      </c>
      <c r="B25" s="24"/>
      <c r="C25" s="24"/>
      <c r="D25" s="24"/>
      <c r="E25" s="25"/>
      <c r="F25" s="26"/>
      <c r="G25" s="26"/>
      <c r="H25" s="26"/>
      <c r="I25" s="26"/>
    </row>
    <row r="26" spans="1:9" s="7" customFormat="1" ht="16" customHeight="1">
      <c r="A26" s="107" t="s">
        <v>19</v>
      </c>
      <c r="B26" s="15">
        <f t="shared" si="0"/>
        <v>100</v>
      </c>
      <c r="C26" s="15">
        <f t="shared" si="1"/>
        <v>12</v>
      </c>
      <c r="D26" s="15">
        <f t="shared" ref="D26:D36" si="3">SUM(E26:I26)</f>
        <v>12</v>
      </c>
      <c r="E26" s="16">
        <f>'1.1'!F26</f>
        <v>4</v>
      </c>
      <c r="F26" s="13">
        <f>'1.2'!C26</f>
        <v>2</v>
      </c>
      <c r="G26" s="13">
        <f>'1.3'!C26</f>
        <v>2</v>
      </c>
      <c r="H26" s="13">
        <f>'1.4'!E27</f>
        <v>2</v>
      </c>
      <c r="I26" s="13">
        <f>'1.5'!E27</f>
        <v>2</v>
      </c>
    </row>
    <row r="27" spans="1:9" ht="16" customHeight="1">
      <c r="A27" s="107" t="s">
        <v>20</v>
      </c>
      <c r="B27" s="15">
        <f t="shared" si="0"/>
        <v>66.7</v>
      </c>
      <c r="C27" s="15">
        <f t="shared" si="1"/>
        <v>12</v>
      </c>
      <c r="D27" s="15">
        <f t="shared" si="3"/>
        <v>8</v>
      </c>
      <c r="E27" s="16">
        <f>'1.1'!F27</f>
        <v>4</v>
      </c>
      <c r="F27" s="13">
        <f>'1.2'!C27</f>
        <v>0</v>
      </c>
      <c r="G27" s="13">
        <f>'1.3'!C27</f>
        <v>0</v>
      </c>
      <c r="H27" s="13">
        <f>'1.4'!E28</f>
        <v>2</v>
      </c>
      <c r="I27" s="13">
        <f>'1.5'!E28</f>
        <v>2</v>
      </c>
    </row>
    <row r="28" spans="1:9" ht="16" customHeight="1">
      <c r="A28" s="107" t="s">
        <v>21</v>
      </c>
      <c r="B28" s="15">
        <f t="shared" si="0"/>
        <v>100</v>
      </c>
      <c r="C28" s="15">
        <f t="shared" si="1"/>
        <v>12</v>
      </c>
      <c r="D28" s="15">
        <f t="shared" si="3"/>
        <v>12</v>
      </c>
      <c r="E28" s="16">
        <f>'1.1'!F28</f>
        <v>4</v>
      </c>
      <c r="F28" s="13">
        <f>'1.2'!C28</f>
        <v>2</v>
      </c>
      <c r="G28" s="13">
        <f>'1.3'!C28</f>
        <v>2</v>
      </c>
      <c r="H28" s="13">
        <f>'1.4'!E29</f>
        <v>2</v>
      </c>
      <c r="I28" s="13">
        <f>'1.5'!E29</f>
        <v>2</v>
      </c>
    </row>
    <row r="29" spans="1:9" ht="16" customHeight="1">
      <c r="A29" s="107" t="s">
        <v>22</v>
      </c>
      <c r="B29" s="15">
        <f t="shared" si="0"/>
        <v>100</v>
      </c>
      <c r="C29" s="15">
        <f t="shared" si="1"/>
        <v>12</v>
      </c>
      <c r="D29" s="15">
        <f t="shared" si="3"/>
        <v>12</v>
      </c>
      <c r="E29" s="16">
        <f>'1.1'!F29</f>
        <v>4</v>
      </c>
      <c r="F29" s="13">
        <f>'1.2'!C29</f>
        <v>2</v>
      </c>
      <c r="G29" s="13">
        <f>'1.3'!C29</f>
        <v>2</v>
      </c>
      <c r="H29" s="13">
        <f>'1.4'!E30</f>
        <v>2</v>
      </c>
      <c r="I29" s="13">
        <f>'1.5'!E30</f>
        <v>2</v>
      </c>
    </row>
    <row r="30" spans="1:9" ht="16" customHeight="1">
      <c r="A30" s="107" t="s">
        <v>23</v>
      </c>
      <c r="B30" s="15">
        <f t="shared" si="0"/>
        <v>50</v>
      </c>
      <c r="C30" s="15">
        <f t="shared" si="1"/>
        <v>12</v>
      </c>
      <c r="D30" s="15">
        <f t="shared" si="3"/>
        <v>6</v>
      </c>
      <c r="E30" s="16">
        <f>'1.1'!F30</f>
        <v>4</v>
      </c>
      <c r="F30" s="13">
        <f>'1.2'!C30</f>
        <v>2</v>
      </c>
      <c r="G30" s="13">
        <f>'1.3'!C30</f>
        <v>0</v>
      </c>
      <c r="H30" s="13">
        <f>'1.4'!E31</f>
        <v>0</v>
      </c>
      <c r="I30" s="13">
        <f>'1.5'!E31</f>
        <v>0</v>
      </c>
    </row>
    <row r="31" spans="1:9" ht="16" customHeight="1">
      <c r="A31" s="107" t="s">
        <v>24</v>
      </c>
      <c r="B31" s="15">
        <f t="shared" si="0"/>
        <v>83.3</v>
      </c>
      <c r="C31" s="15">
        <f t="shared" si="1"/>
        <v>12</v>
      </c>
      <c r="D31" s="15">
        <f t="shared" si="3"/>
        <v>10</v>
      </c>
      <c r="E31" s="16">
        <f>'1.1'!F31</f>
        <v>4</v>
      </c>
      <c r="F31" s="13">
        <f>'1.2'!C31</f>
        <v>2</v>
      </c>
      <c r="G31" s="13">
        <f>'1.3'!C31</f>
        <v>2</v>
      </c>
      <c r="H31" s="13">
        <f>'1.4'!E32</f>
        <v>2</v>
      </c>
      <c r="I31" s="13">
        <f>'1.5'!E32</f>
        <v>0</v>
      </c>
    </row>
    <row r="32" spans="1:9" s="7" customFormat="1" ht="16" customHeight="1">
      <c r="A32" s="107" t="s">
        <v>25</v>
      </c>
      <c r="B32" s="15">
        <f t="shared" si="0"/>
        <v>91.7</v>
      </c>
      <c r="C32" s="15">
        <f t="shared" si="1"/>
        <v>12</v>
      </c>
      <c r="D32" s="15">
        <f t="shared" si="3"/>
        <v>11</v>
      </c>
      <c r="E32" s="16">
        <f>'1.1'!F32</f>
        <v>4</v>
      </c>
      <c r="F32" s="13">
        <f>'1.2'!C32</f>
        <v>2</v>
      </c>
      <c r="G32" s="13">
        <f>'1.3'!C32</f>
        <v>2</v>
      </c>
      <c r="H32" s="13">
        <f>'1.4'!E33</f>
        <v>2</v>
      </c>
      <c r="I32" s="13">
        <f>'1.5'!E33</f>
        <v>1</v>
      </c>
    </row>
    <row r="33" spans="1:9" s="7" customFormat="1" ht="16" customHeight="1">
      <c r="A33" s="107" t="s">
        <v>26</v>
      </c>
      <c r="B33" s="15">
        <f t="shared" si="0"/>
        <v>75</v>
      </c>
      <c r="C33" s="15">
        <f t="shared" si="1"/>
        <v>12</v>
      </c>
      <c r="D33" s="15">
        <f t="shared" si="3"/>
        <v>9</v>
      </c>
      <c r="E33" s="16">
        <f>'1.1'!F33</f>
        <v>4</v>
      </c>
      <c r="F33" s="13">
        <f>'1.2'!C33</f>
        <v>0</v>
      </c>
      <c r="G33" s="13">
        <f>'1.3'!C33</f>
        <v>2</v>
      </c>
      <c r="H33" s="13">
        <f>'1.4'!E34</f>
        <v>1</v>
      </c>
      <c r="I33" s="13">
        <f>'1.5'!E34</f>
        <v>2</v>
      </c>
    </row>
    <row r="34" spans="1:9" ht="16" customHeight="1">
      <c r="A34" s="107" t="s">
        <v>27</v>
      </c>
      <c r="B34" s="15">
        <f t="shared" si="0"/>
        <v>75</v>
      </c>
      <c r="C34" s="15">
        <f t="shared" si="1"/>
        <v>12</v>
      </c>
      <c r="D34" s="15">
        <f>SUM(E34:I34)</f>
        <v>9</v>
      </c>
      <c r="E34" s="16">
        <f>'1.1'!F34</f>
        <v>1</v>
      </c>
      <c r="F34" s="13">
        <f>'1.2'!C34</f>
        <v>2</v>
      </c>
      <c r="G34" s="13">
        <f>'1.3'!C34</f>
        <v>2</v>
      </c>
      <c r="H34" s="13">
        <f>'1.4'!E35</f>
        <v>2</v>
      </c>
      <c r="I34" s="13">
        <f>'1.5'!E35</f>
        <v>2</v>
      </c>
    </row>
    <row r="35" spans="1:9" ht="16" customHeight="1">
      <c r="A35" s="107" t="s">
        <v>546</v>
      </c>
      <c r="B35" s="15">
        <f t="shared" si="0"/>
        <v>90</v>
      </c>
      <c r="C35" s="15">
        <f>$D$5-I5</f>
        <v>10</v>
      </c>
      <c r="D35" s="15">
        <f t="shared" si="3"/>
        <v>9</v>
      </c>
      <c r="E35" s="16">
        <f>'1.1'!F35</f>
        <v>4</v>
      </c>
      <c r="F35" s="13">
        <f>'1.2'!C35</f>
        <v>2</v>
      </c>
      <c r="G35" s="13">
        <f>'1.3'!C35</f>
        <v>2</v>
      </c>
      <c r="H35" s="13">
        <f>'1.4'!E36</f>
        <v>1</v>
      </c>
      <c r="I35" s="13" t="str">
        <f>'1.5'!E36</f>
        <v>- *</v>
      </c>
    </row>
    <row r="36" spans="1:9" ht="16" customHeight="1">
      <c r="A36" s="107" t="s">
        <v>28</v>
      </c>
      <c r="B36" s="15">
        <f t="shared" si="0"/>
        <v>91.7</v>
      </c>
      <c r="C36" s="15">
        <f t="shared" si="1"/>
        <v>12</v>
      </c>
      <c r="D36" s="15">
        <f t="shared" si="3"/>
        <v>11</v>
      </c>
      <c r="E36" s="16">
        <f>'1.1'!F36</f>
        <v>4</v>
      </c>
      <c r="F36" s="13">
        <f>'1.2'!C36</f>
        <v>2</v>
      </c>
      <c r="G36" s="13">
        <f>'1.3'!C36</f>
        <v>2</v>
      </c>
      <c r="H36" s="13">
        <f>'1.4'!E37</f>
        <v>1</v>
      </c>
      <c r="I36" s="13">
        <f>'1.5'!E37</f>
        <v>2</v>
      </c>
    </row>
    <row r="37" spans="1:9" ht="16" customHeight="1">
      <c r="A37" s="120" t="s">
        <v>29</v>
      </c>
      <c r="B37" s="24"/>
      <c r="C37" s="24"/>
      <c r="D37" s="24"/>
      <c r="E37" s="25"/>
      <c r="F37" s="26"/>
      <c r="G37" s="26"/>
      <c r="H37" s="26"/>
      <c r="I37" s="26"/>
    </row>
    <row r="38" spans="1:9" ht="16" customHeight="1">
      <c r="A38" s="107" t="s">
        <v>30</v>
      </c>
      <c r="B38" s="246">
        <f t="shared" si="0"/>
        <v>83.3</v>
      </c>
      <c r="C38" s="246">
        <f t="shared" si="1"/>
        <v>12</v>
      </c>
      <c r="D38" s="246">
        <f t="shared" ref="D38:D45" si="4">SUM(E38:I38)</f>
        <v>10</v>
      </c>
      <c r="E38" s="16">
        <f>'1.1'!F38</f>
        <v>4</v>
      </c>
      <c r="F38" s="13">
        <f>'1.2'!C38</f>
        <v>2</v>
      </c>
      <c r="G38" s="13">
        <f>'1.3'!C38</f>
        <v>2</v>
      </c>
      <c r="H38" s="13">
        <f>'1.4'!E39</f>
        <v>0</v>
      </c>
      <c r="I38" s="245">
        <f>'1.5'!E39</f>
        <v>2</v>
      </c>
    </row>
    <row r="39" spans="1:9" ht="16" customHeight="1">
      <c r="A39" s="107" t="s">
        <v>31</v>
      </c>
      <c r="B39" s="15">
        <f t="shared" si="0"/>
        <v>100</v>
      </c>
      <c r="C39" s="15">
        <f t="shared" si="1"/>
        <v>12</v>
      </c>
      <c r="D39" s="15">
        <f t="shared" si="4"/>
        <v>12</v>
      </c>
      <c r="E39" s="16">
        <f>'1.1'!F39</f>
        <v>4</v>
      </c>
      <c r="F39" s="13">
        <f>'1.2'!C39</f>
        <v>2</v>
      </c>
      <c r="G39" s="13">
        <f>'1.3'!C39</f>
        <v>2</v>
      </c>
      <c r="H39" s="13">
        <f>'1.4'!E40</f>
        <v>2</v>
      </c>
      <c r="I39" s="13">
        <f>'1.5'!E40</f>
        <v>2</v>
      </c>
    </row>
    <row r="40" spans="1:9" ht="16" customHeight="1">
      <c r="A40" s="107" t="s">
        <v>87</v>
      </c>
      <c r="B40" s="15">
        <f t="shared" si="0"/>
        <v>100</v>
      </c>
      <c r="C40" s="15">
        <f t="shared" si="1"/>
        <v>12</v>
      </c>
      <c r="D40" s="15">
        <f t="shared" si="4"/>
        <v>12</v>
      </c>
      <c r="E40" s="16">
        <f>'1.1'!F40</f>
        <v>4</v>
      </c>
      <c r="F40" s="13">
        <f>'1.2'!C40</f>
        <v>2</v>
      </c>
      <c r="G40" s="13">
        <f>'1.3'!C40</f>
        <v>2</v>
      </c>
      <c r="H40" s="13">
        <f>'1.4'!E41</f>
        <v>2</v>
      </c>
      <c r="I40" s="13">
        <f>'1.5'!E41</f>
        <v>2</v>
      </c>
    </row>
    <row r="41" spans="1:9" s="7" customFormat="1" ht="16" customHeight="1">
      <c r="A41" s="107" t="s">
        <v>32</v>
      </c>
      <c r="B41" s="15">
        <f t="shared" si="0"/>
        <v>100</v>
      </c>
      <c r="C41" s="15">
        <f t="shared" si="1"/>
        <v>12</v>
      </c>
      <c r="D41" s="15">
        <f t="shared" si="4"/>
        <v>12</v>
      </c>
      <c r="E41" s="16">
        <f>'1.1'!F41</f>
        <v>4</v>
      </c>
      <c r="F41" s="13">
        <f>'1.2'!C41</f>
        <v>2</v>
      </c>
      <c r="G41" s="13">
        <f>'1.3'!C41</f>
        <v>2</v>
      </c>
      <c r="H41" s="13">
        <f>'1.4'!E42</f>
        <v>2</v>
      </c>
      <c r="I41" s="13">
        <f>'1.5'!E42</f>
        <v>2</v>
      </c>
    </row>
    <row r="42" spans="1:9" ht="16" customHeight="1">
      <c r="A42" s="107" t="s">
        <v>33</v>
      </c>
      <c r="B42" s="15">
        <f t="shared" si="0"/>
        <v>87.5</v>
      </c>
      <c r="C42" s="15">
        <f t="shared" si="1"/>
        <v>12</v>
      </c>
      <c r="D42" s="15">
        <f t="shared" si="4"/>
        <v>10.5</v>
      </c>
      <c r="E42" s="16">
        <f>'1.1'!F42</f>
        <v>4</v>
      </c>
      <c r="F42" s="13">
        <f>'1.2'!C42</f>
        <v>2</v>
      </c>
      <c r="G42" s="13">
        <f>'1.3'!C42</f>
        <v>2</v>
      </c>
      <c r="H42" s="13">
        <f>'1.4'!E43</f>
        <v>0.5</v>
      </c>
      <c r="I42" s="13">
        <f>'1.5'!E43</f>
        <v>2</v>
      </c>
    </row>
    <row r="43" spans="1:9" ht="16" customHeight="1">
      <c r="A43" s="107" t="s">
        <v>34</v>
      </c>
      <c r="B43" s="15">
        <f t="shared" si="0"/>
        <v>83.3</v>
      </c>
      <c r="C43" s="15">
        <f t="shared" si="1"/>
        <v>12</v>
      </c>
      <c r="D43" s="15">
        <f t="shared" si="4"/>
        <v>10</v>
      </c>
      <c r="E43" s="16">
        <f>'1.1'!F43</f>
        <v>4</v>
      </c>
      <c r="F43" s="13">
        <f>'1.2'!C43</f>
        <v>2</v>
      </c>
      <c r="G43" s="13">
        <f>'1.3'!C43</f>
        <v>2</v>
      </c>
      <c r="H43" s="13">
        <f>'1.4'!E44</f>
        <v>0</v>
      </c>
      <c r="I43" s="13">
        <f>'1.5'!E44</f>
        <v>2</v>
      </c>
    </row>
    <row r="44" spans="1:9" ht="16" customHeight="1">
      <c r="A44" s="107" t="s">
        <v>35</v>
      </c>
      <c r="B44" s="15">
        <f t="shared" si="0"/>
        <v>100</v>
      </c>
      <c r="C44" s="15">
        <f t="shared" si="1"/>
        <v>12</v>
      </c>
      <c r="D44" s="15">
        <f t="shared" si="4"/>
        <v>12</v>
      </c>
      <c r="E44" s="16">
        <f>'1.1'!F44</f>
        <v>4</v>
      </c>
      <c r="F44" s="13">
        <f>'1.2'!C44</f>
        <v>2</v>
      </c>
      <c r="G44" s="13">
        <f>'1.3'!C44</f>
        <v>2</v>
      </c>
      <c r="H44" s="13">
        <f>'1.4'!E45</f>
        <v>2</v>
      </c>
      <c r="I44" s="13">
        <f>'1.5'!E45</f>
        <v>2</v>
      </c>
    </row>
    <row r="45" spans="1:9" ht="16" customHeight="1">
      <c r="A45" s="107" t="s">
        <v>222</v>
      </c>
      <c r="B45" s="15">
        <f t="shared" si="0"/>
        <v>70</v>
      </c>
      <c r="C45" s="15">
        <f>$D$5-$I$5</f>
        <v>10</v>
      </c>
      <c r="D45" s="15">
        <f t="shared" si="4"/>
        <v>7</v>
      </c>
      <c r="E45" s="16">
        <f>'1.1'!F45</f>
        <v>4</v>
      </c>
      <c r="F45" s="13">
        <f>'1.2'!C45</f>
        <v>0</v>
      </c>
      <c r="G45" s="13">
        <f>'1.3'!C45</f>
        <v>2</v>
      </c>
      <c r="H45" s="13">
        <f>'1.4'!E46</f>
        <v>1</v>
      </c>
      <c r="I45" s="13" t="str">
        <f>'1.5'!E46</f>
        <v>- *</v>
      </c>
    </row>
    <row r="46" spans="1:9" ht="16" customHeight="1">
      <c r="A46" s="120" t="s">
        <v>36</v>
      </c>
      <c r="B46" s="24"/>
      <c r="C46" s="24"/>
      <c r="D46" s="24"/>
      <c r="E46" s="25"/>
      <c r="F46" s="26"/>
      <c r="G46" s="26"/>
      <c r="H46" s="26"/>
      <c r="I46" s="26"/>
    </row>
    <row r="47" spans="1:9" ht="16" customHeight="1">
      <c r="A47" s="107" t="s">
        <v>37</v>
      </c>
      <c r="B47" s="15">
        <f t="shared" si="0"/>
        <v>50</v>
      </c>
      <c r="C47" s="15">
        <f t="shared" si="1"/>
        <v>12</v>
      </c>
      <c r="D47" s="15">
        <f t="shared" ref="D47:D53" si="5">SUM(E47:I47)</f>
        <v>6</v>
      </c>
      <c r="E47" s="16">
        <f>'1.1'!F47</f>
        <v>2</v>
      </c>
      <c r="F47" s="13">
        <f>'1.2'!C47</f>
        <v>2</v>
      </c>
      <c r="G47" s="13">
        <f>'1.3'!C47</f>
        <v>2</v>
      </c>
      <c r="H47" s="13">
        <f>'1.4'!E48</f>
        <v>0</v>
      </c>
      <c r="I47" s="13">
        <f>'1.5'!E48</f>
        <v>0</v>
      </c>
    </row>
    <row r="48" spans="1:9" ht="16" customHeight="1">
      <c r="A48" s="107" t="s">
        <v>38</v>
      </c>
      <c r="B48" s="15">
        <f t="shared" si="0"/>
        <v>37.5</v>
      </c>
      <c r="C48" s="15">
        <f t="shared" si="1"/>
        <v>12</v>
      </c>
      <c r="D48" s="15">
        <f t="shared" si="5"/>
        <v>4.5</v>
      </c>
      <c r="E48" s="16">
        <f>'1.1'!F48</f>
        <v>0</v>
      </c>
      <c r="F48" s="13">
        <f>'1.2'!C48</f>
        <v>2</v>
      </c>
      <c r="G48" s="13">
        <f>'1.3'!C48</f>
        <v>2</v>
      </c>
      <c r="H48" s="13">
        <f>'1.4'!E49</f>
        <v>0</v>
      </c>
      <c r="I48" s="13">
        <f>'1.5'!E49</f>
        <v>0.5</v>
      </c>
    </row>
    <row r="49" spans="1:9" ht="16" customHeight="1">
      <c r="A49" s="107" t="s">
        <v>39</v>
      </c>
      <c r="B49" s="15">
        <f t="shared" si="0"/>
        <v>91.7</v>
      </c>
      <c r="C49" s="15">
        <f t="shared" si="1"/>
        <v>12</v>
      </c>
      <c r="D49" s="15">
        <f t="shared" si="5"/>
        <v>11</v>
      </c>
      <c r="E49" s="16">
        <f>'1.1'!F49</f>
        <v>4</v>
      </c>
      <c r="F49" s="13">
        <f>'1.2'!C49</f>
        <v>2</v>
      </c>
      <c r="G49" s="13">
        <f>'1.3'!C49</f>
        <v>2</v>
      </c>
      <c r="H49" s="13">
        <f>'1.4'!E50</f>
        <v>2</v>
      </c>
      <c r="I49" s="13">
        <f>'1.5'!E50</f>
        <v>1</v>
      </c>
    </row>
    <row r="50" spans="1:9" ht="16" customHeight="1">
      <c r="A50" s="107" t="s">
        <v>40</v>
      </c>
      <c r="B50" s="15">
        <f t="shared" si="0"/>
        <v>66.7</v>
      </c>
      <c r="C50" s="15">
        <f t="shared" si="1"/>
        <v>12</v>
      </c>
      <c r="D50" s="15">
        <f t="shared" si="5"/>
        <v>8</v>
      </c>
      <c r="E50" s="16">
        <f>'1.1'!F50</f>
        <v>4</v>
      </c>
      <c r="F50" s="13">
        <f>'1.2'!C50</f>
        <v>2</v>
      </c>
      <c r="G50" s="13">
        <f>'1.3'!C50</f>
        <v>2</v>
      </c>
      <c r="H50" s="13">
        <f>'1.4'!E51</f>
        <v>0</v>
      </c>
      <c r="I50" s="13">
        <f>'1.5'!E51</f>
        <v>0</v>
      </c>
    </row>
    <row r="51" spans="1:9" ht="16" customHeight="1">
      <c r="A51" s="107" t="s">
        <v>547</v>
      </c>
      <c r="B51" s="15">
        <f t="shared" si="0"/>
        <v>50</v>
      </c>
      <c r="C51" s="15">
        <f t="shared" si="1"/>
        <v>12</v>
      </c>
      <c r="D51" s="15">
        <f t="shared" si="5"/>
        <v>6</v>
      </c>
      <c r="E51" s="16">
        <f>'1.1'!F51</f>
        <v>4</v>
      </c>
      <c r="F51" s="13">
        <f>'1.2'!C51</f>
        <v>0</v>
      </c>
      <c r="G51" s="13">
        <f>'1.3'!C51</f>
        <v>2</v>
      </c>
      <c r="H51" s="13">
        <f>'1.4'!E52</f>
        <v>0</v>
      </c>
      <c r="I51" s="13">
        <f>'1.5'!E52</f>
        <v>0</v>
      </c>
    </row>
    <row r="52" spans="1:9" ht="16" customHeight="1">
      <c r="A52" s="107" t="s">
        <v>41</v>
      </c>
      <c r="B52" s="15">
        <f t="shared" si="0"/>
        <v>33.299999999999997</v>
      </c>
      <c r="C52" s="15">
        <f t="shared" si="1"/>
        <v>12</v>
      </c>
      <c r="D52" s="15">
        <f t="shared" si="5"/>
        <v>4</v>
      </c>
      <c r="E52" s="16">
        <f>'1.1'!F52</f>
        <v>0</v>
      </c>
      <c r="F52" s="13">
        <f>'1.2'!C52</f>
        <v>2</v>
      </c>
      <c r="G52" s="13">
        <f>'1.3'!C52</f>
        <v>2</v>
      </c>
      <c r="H52" s="13">
        <f>'1.4'!E53</f>
        <v>0</v>
      </c>
      <c r="I52" s="13">
        <f>'1.5'!E53</f>
        <v>0</v>
      </c>
    </row>
    <row r="53" spans="1:9" ht="16" customHeight="1">
      <c r="A53" s="107" t="s">
        <v>42</v>
      </c>
      <c r="B53" s="15">
        <f t="shared" si="0"/>
        <v>100</v>
      </c>
      <c r="C53" s="15">
        <f t="shared" si="1"/>
        <v>12</v>
      </c>
      <c r="D53" s="15">
        <f t="shared" si="5"/>
        <v>12</v>
      </c>
      <c r="E53" s="16">
        <f>'1.1'!F53</f>
        <v>4</v>
      </c>
      <c r="F53" s="13">
        <f>'1.2'!C53</f>
        <v>2</v>
      </c>
      <c r="G53" s="13">
        <f>'1.3'!C53</f>
        <v>2</v>
      </c>
      <c r="H53" s="13">
        <f>'1.4'!E54</f>
        <v>2</v>
      </c>
      <c r="I53" s="13">
        <f>'1.5'!E54</f>
        <v>2</v>
      </c>
    </row>
    <row r="54" spans="1:9" ht="16" customHeight="1">
      <c r="A54" s="120" t="s">
        <v>43</v>
      </c>
      <c r="B54" s="24"/>
      <c r="C54" s="24"/>
      <c r="D54" s="24"/>
      <c r="E54" s="25"/>
      <c r="F54" s="26"/>
      <c r="G54" s="26"/>
      <c r="H54" s="26"/>
      <c r="I54" s="26"/>
    </row>
    <row r="55" spans="1:9" ht="16" customHeight="1">
      <c r="A55" s="107" t="s">
        <v>44</v>
      </c>
      <c r="B55" s="15">
        <f t="shared" si="0"/>
        <v>100</v>
      </c>
      <c r="C55" s="15">
        <f t="shared" si="1"/>
        <v>12</v>
      </c>
      <c r="D55" s="15">
        <f t="shared" ref="D55:D68" si="6">SUM(E55:I55)</f>
        <v>12</v>
      </c>
      <c r="E55" s="16">
        <f>'1.1'!F55</f>
        <v>4</v>
      </c>
      <c r="F55" s="13">
        <f>'1.2'!C55</f>
        <v>2</v>
      </c>
      <c r="G55" s="13">
        <f>'1.3'!C55</f>
        <v>2</v>
      </c>
      <c r="H55" s="13">
        <f>'1.4'!E56</f>
        <v>2</v>
      </c>
      <c r="I55" s="13">
        <f>'1.5'!E56</f>
        <v>2</v>
      </c>
    </row>
    <row r="56" spans="1:9" s="7" customFormat="1" ht="16" customHeight="1">
      <c r="A56" s="107" t="s">
        <v>548</v>
      </c>
      <c r="B56" s="15">
        <f t="shared" si="0"/>
        <v>91.7</v>
      </c>
      <c r="C56" s="15">
        <f t="shared" si="1"/>
        <v>12</v>
      </c>
      <c r="D56" s="15">
        <f t="shared" si="6"/>
        <v>11</v>
      </c>
      <c r="E56" s="16">
        <f>'1.1'!F56</f>
        <v>4</v>
      </c>
      <c r="F56" s="13">
        <f>'1.2'!C56</f>
        <v>2</v>
      </c>
      <c r="G56" s="13">
        <f>'1.3'!C56</f>
        <v>2</v>
      </c>
      <c r="H56" s="13">
        <f>'1.4'!E57</f>
        <v>1</v>
      </c>
      <c r="I56" s="13">
        <f>'1.5'!E57</f>
        <v>2</v>
      </c>
    </row>
    <row r="57" spans="1:9" ht="16" customHeight="1">
      <c r="A57" s="107" t="s">
        <v>45</v>
      </c>
      <c r="B57" s="15">
        <f t="shared" si="0"/>
        <v>33.299999999999997</v>
      </c>
      <c r="C57" s="15">
        <f t="shared" si="1"/>
        <v>12</v>
      </c>
      <c r="D57" s="15">
        <f t="shared" si="6"/>
        <v>4</v>
      </c>
      <c r="E57" s="16">
        <f>'1.1'!F57</f>
        <v>2</v>
      </c>
      <c r="F57" s="13">
        <f>'1.2'!C57</f>
        <v>0</v>
      </c>
      <c r="G57" s="13">
        <f>'1.3'!C57</f>
        <v>2</v>
      </c>
      <c r="H57" s="13">
        <f>'1.4'!E58</f>
        <v>0</v>
      </c>
      <c r="I57" s="13">
        <f>'1.5'!E58</f>
        <v>0</v>
      </c>
    </row>
    <row r="58" spans="1:9" ht="16" customHeight="1">
      <c r="A58" s="107" t="s">
        <v>46</v>
      </c>
      <c r="B58" s="15">
        <f t="shared" si="0"/>
        <v>66.7</v>
      </c>
      <c r="C58" s="15">
        <f t="shared" si="1"/>
        <v>12</v>
      </c>
      <c r="D58" s="15">
        <f t="shared" si="6"/>
        <v>8</v>
      </c>
      <c r="E58" s="16">
        <f>'1.1'!F58</f>
        <v>4</v>
      </c>
      <c r="F58" s="13">
        <f>'1.2'!C58</f>
        <v>2</v>
      </c>
      <c r="G58" s="13">
        <f>'1.3'!C58</f>
        <v>2</v>
      </c>
      <c r="H58" s="13">
        <f>'1.4'!E59</f>
        <v>0</v>
      </c>
      <c r="I58" s="13">
        <f>'1.5'!E59</f>
        <v>0</v>
      </c>
    </row>
    <row r="59" spans="1:9" ht="16" customHeight="1">
      <c r="A59" s="107" t="s">
        <v>47</v>
      </c>
      <c r="B59" s="15">
        <f t="shared" si="0"/>
        <v>75</v>
      </c>
      <c r="C59" s="15">
        <f t="shared" si="1"/>
        <v>12</v>
      </c>
      <c r="D59" s="15">
        <f t="shared" si="6"/>
        <v>9</v>
      </c>
      <c r="E59" s="16">
        <f>'1.1'!F59</f>
        <v>4</v>
      </c>
      <c r="F59" s="13">
        <f>'1.2'!C59</f>
        <v>2</v>
      </c>
      <c r="G59" s="13">
        <f>'1.3'!C59</f>
        <v>2</v>
      </c>
      <c r="H59" s="13">
        <f>'1.4'!E60</f>
        <v>0</v>
      </c>
      <c r="I59" s="13">
        <f>'1.5'!E60</f>
        <v>1</v>
      </c>
    </row>
    <row r="60" spans="1:9" ht="16" customHeight="1">
      <c r="A60" s="107" t="s">
        <v>549</v>
      </c>
      <c r="B60" s="15">
        <f t="shared" si="0"/>
        <v>100</v>
      </c>
      <c r="C60" s="15">
        <f t="shared" si="1"/>
        <v>12</v>
      </c>
      <c r="D60" s="15">
        <f t="shared" si="6"/>
        <v>12</v>
      </c>
      <c r="E60" s="16">
        <f>'1.1'!F60</f>
        <v>4</v>
      </c>
      <c r="F60" s="13">
        <f>'1.2'!C60</f>
        <v>2</v>
      </c>
      <c r="G60" s="13">
        <f>'1.3'!C60</f>
        <v>2</v>
      </c>
      <c r="H60" s="13">
        <f>'1.4'!E61</f>
        <v>2</v>
      </c>
      <c r="I60" s="13">
        <f>'1.5'!E61</f>
        <v>2</v>
      </c>
    </row>
    <row r="61" spans="1:9" ht="16" customHeight="1">
      <c r="A61" s="107" t="s">
        <v>48</v>
      </c>
      <c r="B61" s="15">
        <f t="shared" si="0"/>
        <v>25</v>
      </c>
      <c r="C61" s="15">
        <f t="shared" si="1"/>
        <v>12</v>
      </c>
      <c r="D61" s="15">
        <f t="shared" si="6"/>
        <v>3</v>
      </c>
      <c r="E61" s="16">
        <f>'1.1'!F61</f>
        <v>2</v>
      </c>
      <c r="F61" s="13">
        <f>'1.2'!C61</f>
        <v>0</v>
      </c>
      <c r="G61" s="13">
        <f>'1.3'!C61</f>
        <v>0</v>
      </c>
      <c r="H61" s="13">
        <f>'1.4'!E62</f>
        <v>0</v>
      </c>
      <c r="I61" s="13">
        <f>'1.5'!E62</f>
        <v>1</v>
      </c>
    </row>
    <row r="62" spans="1:9" ht="16" customHeight="1">
      <c r="A62" s="107" t="s">
        <v>49</v>
      </c>
      <c r="B62" s="15">
        <f t="shared" si="0"/>
        <v>100</v>
      </c>
      <c r="C62" s="15">
        <f t="shared" si="1"/>
        <v>12</v>
      </c>
      <c r="D62" s="15">
        <f t="shared" si="6"/>
        <v>12</v>
      </c>
      <c r="E62" s="16">
        <f>'1.1'!F62</f>
        <v>4</v>
      </c>
      <c r="F62" s="13">
        <f>'1.2'!C62</f>
        <v>2</v>
      </c>
      <c r="G62" s="13">
        <f>'1.3'!C62</f>
        <v>2</v>
      </c>
      <c r="H62" s="13">
        <f>'1.4'!E63</f>
        <v>2</v>
      </c>
      <c r="I62" s="13">
        <f>'1.5'!E63</f>
        <v>2</v>
      </c>
    </row>
    <row r="63" spans="1:9" ht="16" customHeight="1">
      <c r="A63" s="107" t="s">
        <v>550</v>
      </c>
      <c r="B63" s="15">
        <f t="shared" si="0"/>
        <v>91.7</v>
      </c>
      <c r="C63" s="15">
        <f t="shared" si="1"/>
        <v>12</v>
      </c>
      <c r="D63" s="15">
        <f t="shared" si="6"/>
        <v>11</v>
      </c>
      <c r="E63" s="16">
        <f>'1.1'!F63</f>
        <v>4</v>
      </c>
      <c r="F63" s="13">
        <f>'1.2'!C63</f>
        <v>2</v>
      </c>
      <c r="G63" s="13">
        <f>'1.3'!C63</f>
        <v>2</v>
      </c>
      <c r="H63" s="13">
        <f>'1.4'!E64</f>
        <v>1</v>
      </c>
      <c r="I63" s="13">
        <f>'1.5'!E64</f>
        <v>2</v>
      </c>
    </row>
    <row r="64" spans="1:9" ht="16" customHeight="1">
      <c r="A64" s="107" t="s">
        <v>50</v>
      </c>
      <c r="B64" s="15">
        <f t="shared" si="0"/>
        <v>100</v>
      </c>
      <c r="C64" s="15">
        <f t="shared" si="1"/>
        <v>12</v>
      </c>
      <c r="D64" s="15">
        <f t="shared" si="6"/>
        <v>12</v>
      </c>
      <c r="E64" s="16">
        <f>'1.1'!F64</f>
        <v>4</v>
      </c>
      <c r="F64" s="13">
        <f>'1.2'!C64</f>
        <v>2</v>
      </c>
      <c r="G64" s="13">
        <f>'1.3'!C64</f>
        <v>2</v>
      </c>
      <c r="H64" s="13">
        <f>'1.4'!E65</f>
        <v>2</v>
      </c>
      <c r="I64" s="13">
        <f>'1.5'!E65</f>
        <v>2</v>
      </c>
    </row>
    <row r="65" spans="1:9" ht="16" customHeight="1">
      <c r="A65" s="107" t="s">
        <v>51</v>
      </c>
      <c r="B65" s="15">
        <f t="shared" si="0"/>
        <v>66.7</v>
      </c>
      <c r="C65" s="15">
        <f t="shared" si="1"/>
        <v>12</v>
      </c>
      <c r="D65" s="15">
        <f t="shared" si="6"/>
        <v>8</v>
      </c>
      <c r="E65" s="16">
        <f>'1.1'!F65</f>
        <v>2</v>
      </c>
      <c r="F65" s="13">
        <f>'1.2'!C65</f>
        <v>2</v>
      </c>
      <c r="G65" s="13">
        <f>'1.3'!C65</f>
        <v>2</v>
      </c>
      <c r="H65" s="13">
        <f>'1.4'!E66</f>
        <v>0</v>
      </c>
      <c r="I65" s="13">
        <f>'1.5'!E66</f>
        <v>2</v>
      </c>
    </row>
    <row r="66" spans="1:9" ht="16" customHeight="1">
      <c r="A66" s="107" t="s">
        <v>52</v>
      </c>
      <c r="B66" s="15">
        <f t="shared" si="0"/>
        <v>33.299999999999997</v>
      </c>
      <c r="C66" s="15">
        <f t="shared" si="1"/>
        <v>12</v>
      </c>
      <c r="D66" s="15">
        <f t="shared" si="6"/>
        <v>4</v>
      </c>
      <c r="E66" s="16">
        <f>'1.1'!F66</f>
        <v>4</v>
      </c>
      <c r="F66" s="13">
        <f>'1.2'!C66</f>
        <v>0</v>
      </c>
      <c r="G66" s="13">
        <f>'1.3'!C66</f>
        <v>0</v>
      </c>
      <c r="H66" s="13">
        <f>'1.4'!E67</f>
        <v>0</v>
      </c>
      <c r="I66" s="13">
        <f>'1.5'!E67</f>
        <v>0</v>
      </c>
    </row>
    <row r="67" spans="1:9" ht="16" customHeight="1">
      <c r="A67" s="107" t="s">
        <v>53</v>
      </c>
      <c r="B67" s="15">
        <f t="shared" si="0"/>
        <v>100</v>
      </c>
      <c r="C67" s="15">
        <f t="shared" si="1"/>
        <v>12</v>
      </c>
      <c r="D67" s="15">
        <f t="shared" si="6"/>
        <v>12</v>
      </c>
      <c r="E67" s="16">
        <f>'1.1'!F67</f>
        <v>4</v>
      </c>
      <c r="F67" s="13">
        <f>'1.2'!C67</f>
        <v>2</v>
      </c>
      <c r="G67" s="13">
        <f>'1.3'!C67</f>
        <v>2</v>
      </c>
      <c r="H67" s="13">
        <f>'1.4'!E68</f>
        <v>2</v>
      </c>
      <c r="I67" s="13">
        <f>'1.5'!E68</f>
        <v>2</v>
      </c>
    </row>
    <row r="68" spans="1:9" ht="16" customHeight="1">
      <c r="A68" s="107" t="s">
        <v>54</v>
      </c>
      <c r="B68" s="15">
        <f t="shared" si="0"/>
        <v>83.3</v>
      </c>
      <c r="C68" s="15">
        <f t="shared" si="1"/>
        <v>12</v>
      </c>
      <c r="D68" s="15">
        <f t="shared" si="6"/>
        <v>10</v>
      </c>
      <c r="E68" s="16">
        <f>'1.1'!F68</f>
        <v>4</v>
      </c>
      <c r="F68" s="13">
        <f>'1.2'!C68</f>
        <v>0</v>
      </c>
      <c r="G68" s="13">
        <f>'1.3'!C68</f>
        <v>2</v>
      </c>
      <c r="H68" s="13">
        <f>'1.4'!E69</f>
        <v>2</v>
      </c>
      <c r="I68" s="13">
        <f>'1.5'!E69</f>
        <v>2</v>
      </c>
    </row>
    <row r="69" spans="1:9" ht="16" customHeight="1">
      <c r="A69" s="120" t="s">
        <v>55</v>
      </c>
      <c r="B69" s="24"/>
      <c r="C69" s="24"/>
      <c r="D69" s="24"/>
      <c r="E69" s="25"/>
      <c r="F69" s="26"/>
      <c r="G69" s="26"/>
      <c r="H69" s="26"/>
      <c r="I69" s="26"/>
    </row>
    <row r="70" spans="1:9" ht="16" customHeight="1">
      <c r="A70" s="107" t="s">
        <v>56</v>
      </c>
      <c r="B70" s="15">
        <f t="shared" si="0"/>
        <v>50</v>
      </c>
      <c r="C70" s="15">
        <f t="shared" si="1"/>
        <v>12</v>
      </c>
      <c r="D70" s="15">
        <f t="shared" ref="D70:D75" si="7">SUM(E70:I70)</f>
        <v>6</v>
      </c>
      <c r="E70" s="16">
        <f>'1.1'!F70</f>
        <v>2</v>
      </c>
      <c r="F70" s="13">
        <f>'1.2'!C70</f>
        <v>0</v>
      </c>
      <c r="G70" s="13">
        <f>'1.3'!C70</f>
        <v>2</v>
      </c>
      <c r="H70" s="13">
        <f>'1.4'!E71</f>
        <v>0</v>
      </c>
      <c r="I70" s="13">
        <f>'1.5'!E71</f>
        <v>2</v>
      </c>
    </row>
    <row r="71" spans="1:9" ht="16" customHeight="1">
      <c r="A71" s="107" t="s">
        <v>57</v>
      </c>
      <c r="B71" s="15">
        <f t="shared" si="0"/>
        <v>66.7</v>
      </c>
      <c r="C71" s="15">
        <f t="shared" si="1"/>
        <v>12</v>
      </c>
      <c r="D71" s="15">
        <f t="shared" si="7"/>
        <v>8</v>
      </c>
      <c r="E71" s="16">
        <f>'1.1'!F71</f>
        <v>4</v>
      </c>
      <c r="F71" s="13">
        <f>'1.2'!C71</f>
        <v>2</v>
      </c>
      <c r="G71" s="13">
        <f>'1.3'!C71</f>
        <v>2</v>
      </c>
      <c r="H71" s="13">
        <f>'1.4'!E72</f>
        <v>0</v>
      </c>
      <c r="I71" s="13">
        <f>'1.5'!E72</f>
        <v>0</v>
      </c>
    </row>
    <row r="72" spans="1:9" ht="16" customHeight="1">
      <c r="A72" s="107" t="s">
        <v>58</v>
      </c>
      <c r="B72" s="15">
        <f t="shared" ref="B72:B98" si="8">ROUND(D72/C72*100,1)</f>
        <v>91.7</v>
      </c>
      <c r="C72" s="15">
        <f t="shared" si="1"/>
        <v>12</v>
      </c>
      <c r="D72" s="15">
        <f t="shared" si="7"/>
        <v>11</v>
      </c>
      <c r="E72" s="16">
        <f>'1.1'!F72</f>
        <v>4</v>
      </c>
      <c r="F72" s="13">
        <f>'1.2'!C72</f>
        <v>2</v>
      </c>
      <c r="G72" s="13">
        <f>'1.3'!C72</f>
        <v>2</v>
      </c>
      <c r="H72" s="13">
        <f>'1.4'!E73</f>
        <v>1</v>
      </c>
      <c r="I72" s="13">
        <f>'1.5'!E73</f>
        <v>2</v>
      </c>
    </row>
    <row r="73" spans="1:9" ht="16" customHeight="1">
      <c r="A73" s="107" t="s">
        <v>59</v>
      </c>
      <c r="B73" s="15">
        <f t="shared" si="8"/>
        <v>100</v>
      </c>
      <c r="C73" s="15">
        <f t="shared" ref="C73:C98" si="9">$D$5</f>
        <v>12</v>
      </c>
      <c r="D73" s="15">
        <f t="shared" si="7"/>
        <v>12</v>
      </c>
      <c r="E73" s="16">
        <f>'1.1'!F73</f>
        <v>4</v>
      </c>
      <c r="F73" s="13">
        <f>'1.2'!C73</f>
        <v>2</v>
      </c>
      <c r="G73" s="13">
        <f>'1.3'!C73</f>
        <v>2</v>
      </c>
      <c r="H73" s="13">
        <f>'1.4'!E74</f>
        <v>2</v>
      </c>
      <c r="I73" s="13">
        <f>'1.5'!E74</f>
        <v>2</v>
      </c>
    </row>
    <row r="74" spans="1:9" ht="16" customHeight="1">
      <c r="A74" s="107" t="s">
        <v>551</v>
      </c>
      <c r="B74" s="15">
        <f t="shared" si="8"/>
        <v>100</v>
      </c>
      <c r="C74" s="15">
        <f t="shared" si="9"/>
        <v>12</v>
      </c>
      <c r="D74" s="15">
        <f t="shared" si="7"/>
        <v>12</v>
      </c>
      <c r="E74" s="16">
        <f>'1.1'!F74</f>
        <v>4</v>
      </c>
      <c r="F74" s="13">
        <f>'1.2'!C74</f>
        <v>2</v>
      </c>
      <c r="G74" s="13">
        <f>'1.3'!C74</f>
        <v>2</v>
      </c>
      <c r="H74" s="13">
        <f>'1.4'!E75</f>
        <v>2</v>
      </c>
      <c r="I74" s="13">
        <f>'1.5'!E75</f>
        <v>2</v>
      </c>
    </row>
    <row r="75" spans="1:9" ht="16" customHeight="1">
      <c r="A75" s="107" t="s">
        <v>60</v>
      </c>
      <c r="B75" s="15">
        <f t="shared" si="8"/>
        <v>100</v>
      </c>
      <c r="C75" s="15">
        <f t="shared" si="9"/>
        <v>12</v>
      </c>
      <c r="D75" s="15">
        <f t="shared" si="7"/>
        <v>12</v>
      </c>
      <c r="E75" s="16">
        <f>'1.1'!F75</f>
        <v>4</v>
      </c>
      <c r="F75" s="13">
        <f>'1.2'!C75</f>
        <v>2</v>
      </c>
      <c r="G75" s="13">
        <f>'1.3'!C75</f>
        <v>2</v>
      </c>
      <c r="H75" s="13">
        <f>'1.4'!E76</f>
        <v>2</v>
      </c>
      <c r="I75" s="13">
        <f>'1.5'!E76</f>
        <v>2</v>
      </c>
    </row>
    <row r="76" spans="1:9" ht="16" customHeight="1">
      <c r="A76" s="120" t="s">
        <v>61</v>
      </c>
      <c r="B76" s="24"/>
      <c r="C76" s="24"/>
      <c r="D76" s="24"/>
      <c r="E76" s="25"/>
      <c r="F76" s="26"/>
      <c r="G76" s="26"/>
      <c r="H76" s="26"/>
      <c r="I76" s="26"/>
    </row>
    <row r="77" spans="1:9" ht="16" customHeight="1">
      <c r="A77" s="107" t="s">
        <v>62</v>
      </c>
      <c r="B77" s="15">
        <f t="shared" si="8"/>
        <v>91.7</v>
      </c>
      <c r="C77" s="15">
        <f t="shared" si="9"/>
        <v>12</v>
      </c>
      <c r="D77" s="15">
        <f t="shared" ref="D77:D86" si="10">SUM(E77:I77)</f>
        <v>11</v>
      </c>
      <c r="E77" s="16">
        <f>'1.1'!F77</f>
        <v>4</v>
      </c>
      <c r="F77" s="13">
        <f>'1.2'!C77</f>
        <v>2</v>
      </c>
      <c r="G77" s="13">
        <f>'1.3'!C77</f>
        <v>2</v>
      </c>
      <c r="H77" s="13">
        <f>'1.4'!E78</f>
        <v>1</v>
      </c>
      <c r="I77" s="13">
        <f>'1.5'!E78</f>
        <v>2</v>
      </c>
    </row>
    <row r="78" spans="1:9" ht="16" customHeight="1">
      <c r="A78" s="107" t="s">
        <v>64</v>
      </c>
      <c r="B78" s="15">
        <f t="shared" si="8"/>
        <v>50</v>
      </c>
      <c r="C78" s="15">
        <f t="shared" si="9"/>
        <v>12</v>
      </c>
      <c r="D78" s="15">
        <f t="shared" si="10"/>
        <v>6</v>
      </c>
      <c r="E78" s="16">
        <f>'1.1'!F78</f>
        <v>2</v>
      </c>
      <c r="F78" s="13">
        <f>'1.2'!C78</f>
        <v>2</v>
      </c>
      <c r="G78" s="13">
        <f>'1.3'!C78</f>
        <v>2</v>
      </c>
      <c r="H78" s="13">
        <f>'1.4'!E79</f>
        <v>0</v>
      </c>
      <c r="I78" s="13">
        <f>'1.5'!E79</f>
        <v>0</v>
      </c>
    </row>
    <row r="79" spans="1:9" ht="16" customHeight="1">
      <c r="A79" s="107" t="s">
        <v>65</v>
      </c>
      <c r="B79" s="15">
        <f t="shared" si="8"/>
        <v>100</v>
      </c>
      <c r="C79" s="15">
        <f t="shared" si="9"/>
        <v>12</v>
      </c>
      <c r="D79" s="15">
        <f t="shared" si="10"/>
        <v>12</v>
      </c>
      <c r="E79" s="16">
        <f>'1.1'!F79</f>
        <v>4</v>
      </c>
      <c r="F79" s="13">
        <f>'1.2'!C79</f>
        <v>2</v>
      </c>
      <c r="G79" s="13">
        <f>'1.3'!C79</f>
        <v>2</v>
      </c>
      <c r="H79" s="13">
        <f>'1.4'!E80</f>
        <v>2</v>
      </c>
      <c r="I79" s="13">
        <f>'1.5'!E80</f>
        <v>2</v>
      </c>
    </row>
    <row r="80" spans="1:9" ht="16" customHeight="1">
      <c r="A80" s="107" t="s">
        <v>66</v>
      </c>
      <c r="B80" s="15">
        <f t="shared" si="8"/>
        <v>58.3</v>
      </c>
      <c r="C80" s="15">
        <f t="shared" si="9"/>
        <v>12</v>
      </c>
      <c r="D80" s="15">
        <f t="shared" si="10"/>
        <v>7</v>
      </c>
      <c r="E80" s="16">
        <f>'1.1'!F80</f>
        <v>4</v>
      </c>
      <c r="F80" s="13">
        <f>'1.2'!C80</f>
        <v>0</v>
      </c>
      <c r="G80" s="13">
        <f>'1.3'!C80</f>
        <v>2</v>
      </c>
      <c r="H80" s="13">
        <f>'1.4'!E81</f>
        <v>0</v>
      </c>
      <c r="I80" s="13">
        <f>'1.5'!E81</f>
        <v>1</v>
      </c>
    </row>
    <row r="81" spans="1:9" ht="16" customHeight="1">
      <c r="A81" s="107" t="s">
        <v>68</v>
      </c>
      <c r="B81" s="15">
        <f t="shared" si="8"/>
        <v>75</v>
      </c>
      <c r="C81" s="15">
        <f t="shared" si="9"/>
        <v>12</v>
      </c>
      <c r="D81" s="15">
        <f t="shared" si="10"/>
        <v>9</v>
      </c>
      <c r="E81" s="16">
        <f>'1.1'!F81</f>
        <v>4</v>
      </c>
      <c r="F81" s="13">
        <f>'1.2'!C81</f>
        <v>2</v>
      </c>
      <c r="G81" s="13">
        <f>'1.3'!C81</f>
        <v>2</v>
      </c>
      <c r="H81" s="13">
        <f>'1.4'!E82</f>
        <v>1</v>
      </c>
      <c r="I81" s="13">
        <f>'1.5'!E82</f>
        <v>0</v>
      </c>
    </row>
    <row r="82" spans="1:9" ht="16" customHeight="1">
      <c r="A82" s="107" t="s">
        <v>69</v>
      </c>
      <c r="B82" s="15">
        <f t="shared" si="8"/>
        <v>100</v>
      </c>
      <c r="C82" s="15">
        <f t="shared" si="9"/>
        <v>12</v>
      </c>
      <c r="D82" s="15">
        <f t="shared" si="10"/>
        <v>12</v>
      </c>
      <c r="E82" s="16">
        <f>'1.1'!F82</f>
        <v>4</v>
      </c>
      <c r="F82" s="13">
        <f>'1.2'!C82</f>
        <v>2</v>
      </c>
      <c r="G82" s="13">
        <f>'1.3'!C82</f>
        <v>2</v>
      </c>
      <c r="H82" s="13">
        <f>'1.4'!E83</f>
        <v>2</v>
      </c>
      <c r="I82" s="13">
        <f>'1.5'!E83</f>
        <v>2</v>
      </c>
    </row>
    <row r="83" spans="1:9" ht="16" customHeight="1">
      <c r="A83" s="107" t="s">
        <v>552</v>
      </c>
      <c r="B83" s="15">
        <f t="shared" si="8"/>
        <v>100</v>
      </c>
      <c r="C83" s="15">
        <f t="shared" si="9"/>
        <v>12</v>
      </c>
      <c r="D83" s="15">
        <f t="shared" si="10"/>
        <v>12</v>
      </c>
      <c r="E83" s="16">
        <f>'1.1'!F83</f>
        <v>4</v>
      </c>
      <c r="F83" s="13">
        <f>'1.2'!C83</f>
        <v>2</v>
      </c>
      <c r="G83" s="13">
        <f>'1.3'!C83</f>
        <v>2</v>
      </c>
      <c r="H83" s="13">
        <f>'1.4'!E84</f>
        <v>2</v>
      </c>
      <c r="I83" s="13">
        <f>'1.5'!E84</f>
        <v>2</v>
      </c>
    </row>
    <row r="84" spans="1:9" ht="16" customHeight="1">
      <c r="A84" s="107" t="s">
        <v>70</v>
      </c>
      <c r="B84" s="15">
        <f t="shared" si="8"/>
        <v>75</v>
      </c>
      <c r="C84" s="15">
        <f t="shared" si="9"/>
        <v>12</v>
      </c>
      <c r="D84" s="15">
        <f t="shared" si="10"/>
        <v>9</v>
      </c>
      <c r="E84" s="16">
        <f>'1.1'!F84</f>
        <v>4</v>
      </c>
      <c r="F84" s="13">
        <f>'1.2'!C84</f>
        <v>0</v>
      </c>
      <c r="G84" s="13">
        <f>'1.3'!C84</f>
        <v>2</v>
      </c>
      <c r="H84" s="13">
        <f>'1.4'!E85</f>
        <v>1</v>
      </c>
      <c r="I84" s="13">
        <f>'1.5'!E85</f>
        <v>2</v>
      </c>
    </row>
    <row r="85" spans="1:9" ht="16" customHeight="1">
      <c r="A85" s="107" t="s">
        <v>71</v>
      </c>
      <c r="B85" s="15">
        <f t="shared" si="8"/>
        <v>83.3</v>
      </c>
      <c r="C85" s="15">
        <f t="shared" si="9"/>
        <v>12</v>
      </c>
      <c r="D85" s="15">
        <f t="shared" si="10"/>
        <v>10</v>
      </c>
      <c r="E85" s="16">
        <f>'1.1'!F85</f>
        <v>4</v>
      </c>
      <c r="F85" s="13">
        <f>'1.2'!C85</f>
        <v>2</v>
      </c>
      <c r="G85" s="13">
        <f>'1.3'!C85</f>
        <v>2</v>
      </c>
      <c r="H85" s="13">
        <f>'1.4'!E86</f>
        <v>2</v>
      </c>
      <c r="I85" s="13">
        <f>'1.5'!E86</f>
        <v>0</v>
      </c>
    </row>
    <row r="86" spans="1:9" ht="16" customHeight="1">
      <c r="A86" s="107" t="s">
        <v>72</v>
      </c>
      <c r="B86" s="15">
        <f t="shared" si="8"/>
        <v>75</v>
      </c>
      <c r="C86" s="15">
        <f t="shared" si="9"/>
        <v>12</v>
      </c>
      <c r="D86" s="15">
        <f t="shared" si="10"/>
        <v>9</v>
      </c>
      <c r="E86" s="16">
        <f>'1.1'!F86</f>
        <v>4</v>
      </c>
      <c r="F86" s="13">
        <f>'1.2'!C86</f>
        <v>0</v>
      </c>
      <c r="G86" s="13">
        <f>'1.3'!C86</f>
        <v>2</v>
      </c>
      <c r="H86" s="13">
        <f>'1.4'!E87</f>
        <v>1</v>
      </c>
      <c r="I86" s="13">
        <f>'1.5'!E87</f>
        <v>2</v>
      </c>
    </row>
    <row r="87" spans="1:9" ht="16" customHeight="1">
      <c r="A87" s="120" t="s">
        <v>73</v>
      </c>
      <c r="B87" s="24"/>
      <c r="C87" s="24"/>
      <c r="D87" s="24"/>
      <c r="E87" s="25"/>
      <c r="F87" s="26"/>
      <c r="G87" s="26"/>
      <c r="H87" s="26"/>
      <c r="I87" s="26"/>
    </row>
    <row r="88" spans="1:9" ht="16" customHeight="1">
      <c r="A88" s="107" t="s">
        <v>63</v>
      </c>
      <c r="B88" s="15">
        <f t="shared" si="8"/>
        <v>91.7</v>
      </c>
      <c r="C88" s="15">
        <f t="shared" si="9"/>
        <v>12</v>
      </c>
      <c r="D88" s="15">
        <f t="shared" ref="D88:D98" si="11">SUM(E88:I88)</f>
        <v>11</v>
      </c>
      <c r="E88" s="16">
        <f>'1.1'!F88</f>
        <v>4</v>
      </c>
      <c r="F88" s="13">
        <f>'1.2'!C88</f>
        <v>2</v>
      </c>
      <c r="G88" s="13">
        <f>'1.3'!C88</f>
        <v>2</v>
      </c>
      <c r="H88" s="13">
        <f>'1.4'!E89</f>
        <v>1</v>
      </c>
      <c r="I88" s="13">
        <f>'1.5'!E89</f>
        <v>2</v>
      </c>
    </row>
    <row r="89" spans="1:9" ht="16" customHeight="1">
      <c r="A89" s="107" t="s">
        <v>74</v>
      </c>
      <c r="B89" s="15">
        <f t="shared" si="8"/>
        <v>66.7</v>
      </c>
      <c r="C89" s="15">
        <f t="shared" si="9"/>
        <v>12</v>
      </c>
      <c r="D89" s="15">
        <f t="shared" si="11"/>
        <v>8</v>
      </c>
      <c r="E89" s="16">
        <f>'1.1'!F89</f>
        <v>4</v>
      </c>
      <c r="F89" s="13">
        <f>'1.2'!C89</f>
        <v>2</v>
      </c>
      <c r="G89" s="13">
        <f>'1.3'!C89</f>
        <v>2</v>
      </c>
      <c r="H89" s="13">
        <f>'1.4'!E90</f>
        <v>0</v>
      </c>
      <c r="I89" s="13">
        <f>'1.5'!E90</f>
        <v>0</v>
      </c>
    </row>
    <row r="90" spans="1:9" ht="16" customHeight="1">
      <c r="A90" s="107" t="s">
        <v>67</v>
      </c>
      <c r="B90" s="15">
        <f t="shared" si="8"/>
        <v>75</v>
      </c>
      <c r="C90" s="15">
        <f t="shared" si="9"/>
        <v>12</v>
      </c>
      <c r="D90" s="15">
        <f t="shared" si="11"/>
        <v>9</v>
      </c>
      <c r="E90" s="16">
        <f>'1.1'!F90</f>
        <v>4</v>
      </c>
      <c r="F90" s="13">
        <f>'1.2'!C90</f>
        <v>0</v>
      </c>
      <c r="G90" s="13">
        <f>'1.3'!C90</f>
        <v>2</v>
      </c>
      <c r="H90" s="13">
        <f>'1.4'!E91</f>
        <v>2</v>
      </c>
      <c r="I90" s="13">
        <f>'1.5'!E91</f>
        <v>1</v>
      </c>
    </row>
    <row r="91" spans="1:9" ht="16" customHeight="1">
      <c r="A91" s="107" t="s">
        <v>75</v>
      </c>
      <c r="B91" s="15">
        <f t="shared" si="8"/>
        <v>91.7</v>
      </c>
      <c r="C91" s="15">
        <f t="shared" si="9"/>
        <v>12</v>
      </c>
      <c r="D91" s="15">
        <f t="shared" si="11"/>
        <v>11</v>
      </c>
      <c r="E91" s="16">
        <f>'1.1'!F91</f>
        <v>4</v>
      </c>
      <c r="F91" s="13">
        <f>'1.2'!C91</f>
        <v>2</v>
      </c>
      <c r="G91" s="13">
        <f>'1.3'!C91</f>
        <v>2</v>
      </c>
      <c r="H91" s="13">
        <f>'1.4'!E92</f>
        <v>1</v>
      </c>
      <c r="I91" s="13">
        <f>'1.5'!E92</f>
        <v>2</v>
      </c>
    </row>
    <row r="92" spans="1:9" ht="16" customHeight="1">
      <c r="A92" s="107" t="s">
        <v>553</v>
      </c>
      <c r="B92" s="15">
        <f t="shared" si="8"/>
        <v>100</v>
      </c>
      <c r="C92" s="15">
        <f t="shared" si="9"/>
        <v>12</v>
      </c>
      <c r="D92" s="15">
        <f t="shared" si="11"/>
        <v>12</v>
      </c>
      <c r="E92" s="16">
        <f>'1.1'!F92</f>
        <v>4</v>
      </c>
      <c r="F92" s="13">
        <f>'1.2'!C92</f>
        <v>2</v>
      </c>
      <c r="G92" s="13">
        <f>'1.3'!C92</f>
        <v>2</v>
      </c>
      <c r="H92" s="13">
        <f>'1.4'!E93</f>
        <v>2</v>
      </c>
      <c r="I92" s="13">
        <f>'1.5'!E93</f>
        <v>2</v>
      </c>
    </row>
    <row r="93" spans="1:9" ht="16" customHeight="1">
      <c r="A93" s="107" t="s">
        <v>76</v>
      </c>
      <c r="B93" s="15">
        <f t="shared" si="8"/>
        <v>83.3</v>
      </c>
      <c r="C93" s="15">
        <f t="shared" si="9"/>
        <v>12</v>
      </c>
      <c r="D93" s="15">
        <f t="shared" si="11"/>
        <v>10</v>
      </c>
      <c r="E93" s="16">
        <f>'1.1'!F93</f>
        <v>4</v>
      </c>
      <c r="F93" s="13">
        <f>'1.2'!C93</f>
        <v>2</v>
      </c>
      <c r="G93" s="13">
        <f>'1.3'!C93</f>
        <v>2</v>
      </c>
      <c r="H93" s="13">
        <f>'1.4'!E94</f>
        <v>2</v>
      </c>
      <c r="I93" s="13">
        <f>'1.5'!E94</f>
        <v>0</v>
      </c>
    </row>
    <row r="94" spans="1:9" ht="16" customHeight="1">
      <c r="A94" s="107" t="s">
        <v>77</v>
      </c>
      <c r="B94" s="15">
        <f t="shared" si="8"/>
        <v>91.7</v>
      </c>
      <c r="C94" s="15">
        <f t="shared" si="9"/>
        <v>12</v>
      </c>
      <c r="D94" s="15">
        <f t="shared" si="11"/>
        <v>11</v>
      </c>
      <c r="E94" s="16">
        <f>'1.1'!F94</f>
        <v>4</v>
      </c>
      <c r="F94" s="13">
        <f>'1.2'!C94</f>
        <v>2</v>
      </c>
      <c r="G94" s="13">
        <f>'1.3'!C94</f>
        <v>2</v>
      </c>
      <c r="H94" s="13">
        <f>'1.4'!E95</f>
        <v>1</v>
      </c>
      <c r="I94" s="13">
        <f>'1.5'!E95</f>
        <v>2</v>
      </c>
    </row>
    <row r="95" spans="1:9" ht="16" customHeight="1">
      <c r="A95" s="107" t="s">
        <v>78</v>
      </c>
      <c r="B95" s="15">
        <f t="shared" si="8"/>
        <v>75</v>
      </c>
      <c r="C95" s="15">
        <f t="shared" si="9"/>
        <v>12</v>
      </c>
      <c r="D95" s="15">
        <f t="shared" si="11"/>
        <v>9</v>
      </c>
      <c r="E95" s="16">
        <f>'1.1'!F95</f>
        <v>4</v>
      </c>
      <c r="F95" s="13">
        <f>'1.2'!C95</f>
        <v>2</v>
      </c>
      <c r="G95" s="13">
        <f>'1.3'!C95</f>
        <v>2</v>
      </c>
      <c r="H95" s="13">
        <f>'1.4'!E96</f>
        <v>1</v>
      </c>
      <c r="I95" s="13">
        <f>'1.5'!E96</f>
        <v>0</v>
      </c>
    </row>
    <row r="96" spans="1:9" ht="16" customHeight="1">
      <c r="A96" s="107" t="s">
        <v>79</v>
      </c>
      <c r="B96" s="15">
        <f t="shared" si="8"/>
        <v>100</v>
      </c>
      <c r="C96" s="15">
        <f t="shared" si="9"/>
        <v>12</v>
      </c>
      <c r="D96" s="15">
        <f t="shared" si="11"/>
        <v>12</v>
      </c>
      <c r="E96" s="16">
        <f>'1.1'!F96</f>
        <v>4</v>
      </c>
      <c r="F96" s="13">
        <f>'1.2'!C96</f>
        <v>2</v>
      </c>
      <c r="G96" s="13">
        <f>'1.3'!C96</f>
        <v>2</v>
      </c>
      <c r="H96" s="13">
        <f>'1.4'!E97</f>
        <v>2</v>
      </c>
      <c r="I96" s="13">
        <f>'1.5'!E97</f>
        <v>2</v>
      </c>
    </row>
    <row r="97" spans="1:9" ht="16" customHeight="1">
      <c r="A97" s="107" t="s">
        <v>80</v>
      </c>
      <c r="B97" s="15">
        <f t="shared" si="8"/>
        <v>83.3</v>
      </c>
      <c r="C97" s="15">
        <f t="shared" si="9"/>
        <v>12</v>
      </c>
      <c r="D97" s="15">
        <f t="shared" si="11"/>
        <v>10</v>
      </c>
      <c r="E97" s="16">
        <f>'1.1'!F97</f>
        <v>2</v>
      </c>
      <c r="F97" s="13">
        <f>'1.2'!C97</f>
        <v>2</v>
      </c>
      <c r="G97" s="13">
        <f>'1.3'!C97</f>
        <v>2</v>
      </c>
      <c r="H97" s="13">
        <f>'1.4'!E98</f>
        <v>2</v>
      </c>
      <c r="I97" s="13">
        <f>'1.5'!E98</f>
        <v>2</v>
      </c>
    </row>
    <row r="98" spans="1:9" ht="16" customHeight="1">
      <c r="A98" s="107" t="s">
        <v>81</v>
      </c>
      <c r="B98" s="15">
        <f t="shared" si="8"/>
        <v>83.3</v>
      </c>
      <c r="C98" s="15">
        <f t="shared" si="9"/>
        <v>12</v>
      </c>
      <c r="D98" s="15">
        <f t="shared" si="11"/>
        <v>10</v>
      </c>
      <c r="E98" s="16">
        <f>'1.1'!F98</f>
        <v>2</v>
      </c>
      <c r="F98" s="13">
        <f>'1.2'!C98</f>
        <v>2</v>
      </c>
      <c r="G98" s="13">
        <f>'1.3'!C98</f>
        <v>2</v>
      </c>
      <c r="H98" s="13">
        <f>'1.4'!E99</f>
        <v>2</v>
      </c>
      <c r="I98" s="13">
        <f>'1.5'!E99</f>
        <v>2</v>
      </c>
    </row>
    <row r="99" spans="1:9">
      <c r="A99" s="29" t="s">
        <v>671</v>
      </c>
      <c r="D99" s="27"/>
    </row>
  </sheetData>
  <pageMargins left="0.70866141732283505" right="0.70866141732283505" top="0.74803149606299202" bottom="0.74803149606299202" header="0.31496062992126" footer="0.31496062992126"/>
  <pageSetup paperSize="9" scale="70" fitToHeight="0" orientation="landscape" r:id="rId1"/>
  <headerFooter scaleWithDoc="0">
    <oddFooter>&amp;C&amp;"Times New Roman,обычный"&amp;A&amp;R&amp;P</oddFooter>
  </headerFooter>
  <ignoredErrors>
    <ignoredError sqref="C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6"/>
  <sheetViews>
    <sheetView zoomScaleNormal="100" workbookViewId="0">
      <selection sqref="A1:E1"/>
    </sheetView>
  </sheetViews>
  <sheetFormatPr baseColWidth="10" defaultColWidth="8.83203125" defaultRowHeight="15"/>
  <cols>
    <col min="1" max="1" width="5.6640625" style="8" customWidth="1"/>
    <col min="2" max="2" width="127.1640625" customWidth="1"/>
    <col min="3" max="3" width="9.6640625" customWidth="1"/>
    <col min="4" max="4" width="11.5" customWidth="1"/>
    <col min="5" max="5" width="10.83203125" customWidth="1"/>
  </cols>
  <sheetData>
    <row r="1" spans="1:5" ht="23" customHeight="1">
      <c r="A1" s="255" t="s">
        <v>429</v>
      </c>
      <c r="B1" s="256"/>
      <c r="C1" s="256"/>
      <c r="D1" s="256"/>
      <c r="E1" s="256"/>
    </row>
    <row r="2" spans="1:5" ht="30" customHeight="1">
      <c r="A2" s="257" t="s">
        <v>106</v>
      </c>
      <c r="B2" s="258" t="s">
        <v>84</v>
      </c>
      <c r="C2" s="258" t="s">
        <v>85</v>
      </c>
      <c r="D2" s="258" t="s">
        <v>86</v>
      </c>
      <c r="E2" s="258"/>
    </row>
    <row r="3" spans="1:5">
      <c r="A3" s="257"/>
      <c r="B3" s="258"/>
      <c r="C3" s="258"/>
      <c r="D3" s="152" t="s">
        <v>90</v>
      </c>
      <c r="E3" s="152" t="s">
        <v>107</v>
      </c>
    </row>
    <row r="4" spans="1:5" ht="17" customHeight="1">
      <c r="A4" s="253">
        <v>1</v>
      </c>
      <c r="B4" s="153" t="s">
        <v>138</v>
      </c>
      <c r="C4" s="254">
        <v>12</v>
      </c>
      <c r="D4" s="254"/>
      <c r="E4" s="254"/>
    </row>
    <row r="5" spans="1:5" ht="30">
      <c r="A5" s="253"/>
      <c r="B5" s="154" t="s">
        <v>406</v>
      </c>
      <c r="C5" s="254"/>
      <c r="D5" s="254"/>
      <c r="E5" s="254"/>
    </row>
    <row r="6" spans="1:5" ht="30">
      <c r="A6" s="253" t="s">
        <v>93</v>
      </c>
      <c r="B6" s="153" t="s">
        <v>407</v>
      </c>
      <c r="C6" s="252"/>
      <c r="D6" s="252"/>
      <c r="E6" s="252"/>
    </row>
    <row r="7" spans="1:5" ht="45">
      <c r="A7" s="253"/>
      <c r="B7" s="154" t="s">
        <v>408</v>
      </c>
      <c r="C7" s="252"/>
      <c r="D7" s="252"/>
      <c r="E7" s="252"/>
    </row>
    <row r="8" spans="1:5" ht="30">
      <c r="A8" s="253"/>
      <c r="B8" s="154" t="s">
        <v>137</v>
      </c>
      <c r="C8" s="252"/>
      <c r="D8" s="252"/>
      <c r="E8" s="252"/>
    </row>
    <row r="9" spans="1:5" ht="30">
      <c r="A9" s="253"/>
      <c r="B9" s="154" t="s">
        <v>409</v>
      </c>
      <c r="C9" s="252"/>
      <c r="D9" s="252"/>
      <c r="E9" s="252"/>
    </row>
    <row r="10" spans="1:5">
      <c r="A10" s="155"/>
      <c r="B10" s="156" t="s">
        <v>108</v>
      </c>
      <c r="C10" s="157">
        <v>4</v>
      </c>
      <c r="D10" s="157">
        <v>0.5</v>
      </c>
      <c r="E10" s="157">
        <v>0.5</v>
      </c>
    </row>
    <row r="11" spans="1:5">
      <c r="A11" s="155"/>
      <c r="B11" s="156" t="s">
        <v>109</v>
      </c>
      <c r="C11" s="157">
        <v>0</v>
      </c>
      <c r="D11" s="157"/>
      <c r="E11" s="157"/>
    </row>
    <row r="12" spans="1:5" ht="30">
      <c r="A12" s="253" t="s">
        <v>94</v>
      </c>
      <c r="B12" s="153" t="s">
        <v>410</v>
      </c>
      <c r="C12" s="252"/>
      <c r="D12" s="252"/>
      <c r="E12" s="252"/>
    </row>
    <row r="13" spans="1:5" ht="58.5" customHeight="1">
      <c r="A13" s="253"/>
      <c r="B13" s="154" t="s">
        <v>411</v>
      </c>
      <c r="C13" s="252"/>
      <c r="D13" s="252"/>
      <c r="E13" s="252"/>
    </row>
    <row r="14" spans="1:5">
      <c r="A14" s="158"/>
      <c r="B14" s="156" t="s">
        <v>92</v>
      </c>
      <c r="C14" s="157">
        <v>2</v>
      </c>
      <c r="D14" s="157"/>
      <c r="E14" s="157"/>
    </row>
    <row r="15" spans="1:5">
      <c r="A15" s="158"/>
      <c r="B15" s="156" t="s">
        <v>91</v>
      </c>
      <c r="C15" s="157">
        <v>0</v>
      </c>
      <c r="D15" s="157"/>
      <c r="E15" s="157"/>
    </row>
    <row r="16" spans="1:5" ht="30">
      <c r="A16" s="155" t="s">
        <v>95</v>
      </c>
      <c r="B16" s="153" t="s">
        <v>412</v>
      </c>
      <c r="C16" s="157"/>
      <c r="D16" s="157"/>
      <c r="E16" s="157"/>
    </row>
    <row r="17" spans="1:5">
      <c r="A17" s="155"/>
      <c r="B17" s="156" t="s">
        <v>92</v>
      </c>
      <c r="C17" s="157">
        <v>2</v>
      </c>
      <c r="D17" s="157"/>
      <c r="E17" s="157"/>
    </row>
    <row r="18" spans="1:5">
      <c r="A18" s="155"/>
      <c r="B18" s="156" t="s">
        <v>101</v>
      </c>
      <c r="C18" s="157">
        <v>0</v>
      </c>
      <c r="D18" s="157"/>
      <c r="E18" s="157"/>
    </row>
    <row r="19" spans="1:5" ht="45">
      <c r="A19" s="253" t="s">
        <v>96</v>
      </c>
      <c r="B19" s="153" t="s">
        <v>413</v>
      </c>
      <c r="C19" s="252"/>
      <c r="D19" s="252"/>
      <c r="E19" s="252"/>
    </row>
    <row r="20" spans="1:5" ht="72" customHeight="1">
      <c r="A20" s="253"/>
      <c r="B20" s="154" t="s">
        <v>414</v>
      </c>
      <c r="C20" s="252"/>
      <c r="D20" s="252"/>
      <c r="E20" s="252"/>
    </row>
    <row r="21" spans="1:5" ht="45">
      <c r="A21" s="253"/>
      <c r="B21" s="154" t="s">
        <v>213</v>
      </c>
      <c r="C21" s="252"/>
      <c r="D21" s="252"/>
      <c r="E21" s="252"/>
    </row>
    <row r="22" spans="1:5" ht="45">
      <c r="A22" s="253"/>
      <c r="B22" s="159" t="s">
        <v>415</v>
      </c>
      <c r="C22" s="252"/>
      <c r="D22" s="252"/>
      <c r="E22" s="252"/>
    </row>
    <row r="23" spans="1:5" ht="45" customHeight="1">
      <c r="A23" s="253"/>
      <c r="B23" s="154" t="s">
        <v>416</v>
      </c>
      <c r="C23" s="252"/>
      <c r="D23" s="252"/>
      <c r="E23" s="252"/>
    </row>
    <row r="24" spans="1:5" ht="72" customHeight="1">
      <c r="A24" s="253"/>
      <c r="B24" s="154" t="s">
        <v>417</v>
      </c>
      <c r="C24" s="157"/>
      <c r="D24" s="157"/>
      <c r="E24" s="157"/>
    </row>
    <row r="25" spans="1:5" ht="30">
      <c r="A25" s="155"/>
      <c r="B25" s="156" t="s">
        <v>418</v>
      </c>
      <c r="C25" s="157">
        <v>2</v>
      </c>
      <c r="D25" s="157">
        <v>0.5</v>
      </c>
      <c r="E25" s="157"/>
    </row>
    <row r="26" spans="1:5" ht="30">
      <c r="A26" s="155"/>
      <c r="B26" s="156" t="s">
        <v>419</v>
      </c>
      <c r="C26" s="157">
        <v>1</v>
      </c>
      <c r="D26" s="157">
        <v>0.5</v>
      </c>
      <c r="E26" s="157"/>
    </row>
    <row r="27" spans="1:5">
      <c r="A27" s="155"/>
      <c r="B27" s="156" t="s">
        <v>212</v>
      </c>
      <c r="C27" s="157">
        <v>0</v>
      </c>
      <c r="D27" s="157"/>
      <c r="E27" s="157"/>
    </row>
    <row r="28" spans="1:5" ht="45">
      <c r="A28" s="249" t="s">
        <v>97</v>
      </c>
      <c r="B28" s="153" t="s">
        <v>420</v>
      </c>
      <c r="C28" s="160"/>
      <c r="D28" s="160"/>
      <c r="E28" s="160"/>
    </row>
    <row r="29" spans="1:5" ht="72" customHeight="1">
      <c r="A29" s="250"/>
      <c r="B29" s="154" t="s">
        <v>421</v>
      </c>
      <c r="C29" s="160"/>
      <c r="D29" s="160"/>
      <c r="E29" s="160"/>
    </row>
    <row r="30" spans="1:5" ht="45">
      <c r="A30" s="250"/>
      <c r="B30" s="154" t="s">
        <v>422</v>
      </c>
      <c r="C30" s="160"/>
      <c r="D30" s="160"/>
      <c r="E30" s="160"/>
    </row>
    <row r="31" spans="1:5" ht="30">
      <c r="A31" s="250"/>
      <c r="B31" s="161" t="s">
        <v>423</v>
      </c>
      <c r="C31" s="160"/>
      <c r="D31" s="160"/>
      <c r="E31" s="160"/>
    </row>
    <row r="32" spans="1:5" ht="87" customHeight="1">
      <c r="A32" s="250"/>
      <c r="B32" s="161" t="s">
        <v>424</v>
      </c>
      <c r="C32" s="160"/>
      <c r="D32" s="160"/>
      <c r="E32" s="160"/>
    </row>
    <row r="33" spans="1:5" ht="45">
      <c r="A33" s="251"/>
      <c r="B33" s="161" t="s">
        <v>425</v>
      </c>
      <c r="C33" s="160"/>
      <c r="D33" s="160"/>
      <c r="E33" s="160"/>
    </row>
    <row r="34" spans="1:5">
      <c r="A34" s="158"/>
      <c r="B34" s="156" t="s">
        <v>426</v>
      </c>
      <c r="C34" s="157">
        <v>2</v>
      </c>
      <c r="D34" s="157">
        <v>0.5</v>
      </c>
      <c r="E34" s="157"/>
    </row>
    <row r="35" spans="1:5">
      <c r="A35" s="158"/>
      <c r="B35" s="156" t="s">
        <v>427</v>
      </c>
      <c r="C35" s="157">
        <v>1</v>
      </c>
      <c r="D35" s="157">
        <v>0.5</v>
      </c>
      <c r="E35" s="157"/>
    </row>
    <row r="36" spans="1:5">
      <c r="A36" s="158"/>
      <c r="B36" s="156" t="s">
        <v>428</v>
      </c>
      <c r="C36" s="157">
        <v>0</v>
      </c>
      <c r="D36" s="157"/>
      <c r="E36" s="157"/>
    </row>
  </sheetData>
  <mergeCells count="22">
    <mergeCell ref="A1:E1"/>
    <mergeCell ref="A2:A3"/>
    <mergeCell ref="B2:B3"/>
    <mergeCell ref="C2:C3"/>
    <mergeCell ref="D2:E2"/>
    <mergeCell ref="A4:A5"/>
    <mergeCell ref="E12:E13"/>
    <mergeCell ref="C4:C5"/>
    <mergeCell ref="D4:D5"/>
    <mergeCell ref="E4:E5"/>
    <mergeCell ref="A6:A9"/>
    <mergeCell ref="C6:C9"/>
    <mergeCell ref="D6:D9"/>
    <mergeCell ref="E6:E9"/>
    <mergeCell ref="A28:A33"/>
    <mergeCell ref="E19:E23"/>
    <mergeCell ref="C19:C23"/>
    <mergeCell ref="D19:D23"/>
    <mergeCell ref="A12:A13"/>
    <mergeCell ref="C12:C13"/>
    <mergeCell ref="D12:D13"/>
    <mergeCell ref="A19:A24"/>
  </mergeCells>
  <pageMargins left="0.70866141732283472" right="0.70866141732283472" top="0.74803149606299213" bottom="0.74803149606299213" header="0.31496062992125984" footer="0.31496062992125984"/>
  <pageSetup paperSize="9" scale="76" fitToHeight="0"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A560B-D87C-2A4B-8EC8-F5CCC50906C2}">
  <dimension ref="A1:Q99"/>
  <sheetViews>
    <sheetView zoomScaleNormal="100" zoomScaleSheetLayoutView="80" workbookViewId="0">
      <pane ySplit="6" topLeftCell="A7" activePane="bottomLeft" state="frozen"/>
      <selection activeCell="G33" sqref="G33:G2385"/>
      <selection pane="bottomLeft"/>
    </sheetView>
  </sheetViews>
  <sheetFormatPr baseColWidth="10" defaultColWidth="8.83203125" defaultRowHeight="15"/>
  <cols>
    <col min="1" max="1" width="24.83203125" style="3" customWidth="1"/>
    <col min="2" max="2" width="31.5" style="72" customWidth="1"/>
    <col min="3" max="3" width="5.5" style="73" customWidth="1"/>
    <col min="4" max="5" width="4.5" style="73" customWidth="1"/>
    <col min="6" max="6" width="5.5" style="61" customWidth="1"/>
    <col min="7" max="7" width="12.33203125" style="74" customWidth="1"/>
    <col min="8" max="9" width="10.5" style="61" customWidth="1"/>
    <col min="10" max="10" width="11.6640625" style="61" customWidth="1"/>
    <col min="11" max="11" width="11.1640625" style="61" customWidth="1"/>
    <col min="12" max="12" width="10.5" style="61" customWidth="1"/>
    <col min="13" max="13" width="11.1640625" style="61" customWidth="1"/>
    <col min="14" max="14" width="15.5" style="61" customWidth="1"/>
    <col min="15" max="15" width="20.5" style="61" customWidth="1"/>
    <col min="16" max="16" width="20.5" style="14" customWidth="1"/>
    <col min="17" max="17" width="8.83203125" style="70"/>
    <col min="253" max="253" width="24.83203125" customWidth="1"/>
    <col min="254" max="254" width="33" customWidth="1"/>
    <col min="255" max="255" width="5.5" customWidth="1"/>
    <col min="256" max="257" width="4.5" customWidth="1"/>
    <col min="258" max="258" width="5.5" customWidth="1"/>
    <col min="259" max="259" width="12.33203125" customWidth="1"/>
    <col min="260" max="261" width="10.5" customWidth="1"/>
    <col min="262" max="262" width="11.6640625" customWidth="1"/>
    <col min="263" max="263" width="11.1640625" customWidth="1"/>
    <col min="264" max="264" width="10.5" customWidth="1"/>
    <col min="265" max="265" width="11.1640625" customWidth="1"/>
    <col min="266" max="266" width="15.5" customWidth="1"/>
    <col min="267" max="268" width="20.5" customWidth="1"/>
    <col min="509" max="509" width="24.83203125" customWidth="1"/>
    <col min="510" max="510" width="33" customWidth="1"/>
    <col min="511" max="511" width="5.5" customWidth="1"/>
    <col min="512" max="513" width="4.5" customWidth="1"/>
    <col min="514" max="514" width="5.5" customWidth="1"/>
    <col min="515" max="515" width="12.33203125" customWidth="1"/>
    <col min="516" max="517" width="10.5" customWidth="1"/>
    <col min="518" max="518" width="11.6640625" customWidth="1"/>
    <col min="519" max="519" width="11.1640625" customWidth="1"/>
    <col min="520" max="520" width="10.5" customWidth="1"/>
    <col min="521" max="521" width="11.1640625" customWidth="1"/>
    <col min="522" max="522" width="15.5" customWidth="1"/>
    <col min="523" max="524" width="20.5" customWidth="1"/>
    <col min="765" max="765" width="24.83203125" customWidth="1"/>
    <col min="766" max="766" width="33" customWidth="1"/>
    <col min="767" max="767" width="5.5" customWidth="1"/>
    <col min="768" max="769" width="4.5" customWidth="1"/>
    <col min="770" max="770" width="5.5" customWidth="1"/>
    <col min="771" max="771" width="12.33203125" customWidth="1"/>
    <col min="772" max="773" width="10.5" customWidth="1"/>
    <col min="774" max="774" width="11.6640625" customWidth="1"/>
    <col min="775" max="775" width="11.1640625" customWidth="1"/>
    <col min="776" max="776" width="10.5" customWidth="1"/>
    <col min="777" max="777" width="11.1640625" customWidth="1"/>
    <col min="778" max="778" width="15.5" customWidth="1"/>
    <col min="779" max="780" width="20.5" customWidth="1"/>
    <col min="1021" max="1021" width="24.83203125" customWidth="1"/>
    <col min="1022" max="1022" width="33" customWidth="1"/>
    <col min="1023" max="1023" width="5.5" customWidth="1"/>
    <col min="1024" max="1025" width="4.5" customWidth="1"/>
    <col min="1026" max="1026" width="5.5" customWidth="1"/>
    <col min="1027" max="1027" width="12.33203125" customWidth="1"/>
    <col min="1028" max="1029" width="10.5" customWidth="1"/>
    <col min="1030" max="1030" width="11.6640625" customWidth="1"/>
    <col min="1031" max="1031" width="11.1640625" customWidth="1"/>
    <col min="1032" max="1032" width="10.5" customWidth="1"/>
    <col min="1033" max="1033" width="11.1640625" customWidth="1"/>
    <col min="1034" max="1034" width="15.5" customWidth="1"/>
    <col min="1035" max="1036" width="20.5" customWidth="1"/>
    <col min="1277" max="1277" width="24.83203125" customWidth="1"/>
    <col min="1278" max="1278" width="33" customWidth="1"/>
    <col min="1279" max="1279" width="5.5" customWidth="1"/>
    <col min="1280" max="1281" width="4.5" customWidth="1"/>
    <col min="1282" max="1282" width="5.5" customWidth="1"/>
    <col min="1283" max="1283" width="12.33203125" customWidth="1"/>
    <col min="1284" max="1285" width="10.5" customWidth="1"/>
    <col min="1286" max="1286" width="11.6640625" customWidth="1"/>
    <col min="1287" max="1287" width="11.1640625" customWidth="1"/>
    <col min="1288" max="1288" width="10.5" customWidth="1"/>
    <col min="1289" max="1289" width="11.1640625" customWidth="1"/>
    <col min="1290" max="1290" width="15.5" customWidth="1"/>
    <col min="1291" max="1292" width="20.5" customWidth="1"/>
    <col min="1533" max="1533" width="24.83203125" customWidth="1"/>
    <col min="1534" max="1534" width="33" customWidth="1"/>
    <col min="1535" max="1535" width="5.5" customWidth="1"/>
    <col min="1536" max="1537" width="4.5" customWidth="1"/>
    <col min="1538" max="1538" width="5.5" customWidth="1"/>
    <col min="1539" max="1539" width="12.33203125" customWidth="1"/>
    <col min="1540" max="1541" width="10.5" customWidth="1"/>
    <col min="1542" max="1542" width="11.6640625" customWidth="1"/>
    <col min="1543" max="1543" width="11.1640625" customWidth="1"/>
    <col min="1544" max="1544" width="10.5" customWidth="1"/>
    <col min="1545" max="1545" width="11.1640625" customWidth="1"/>
    <col min="1546" max="1546" width="15.5" customWidth="1"/>
    <col min="1547" max="1548" width="20.5" customWidth="1"/>
    <col min="1789" max="1789" width="24.83203125" customWidth="1"/>
    <col min="1790" max="1790" width="33" customWidth="1"/>
    <col min="1791" max="1791" width="5.5" customWidth="1"/>
    <col min="1792" max="1793" width="4.5" customWidth="1"/>
    <col min="1794" max="1794" width="5.5" customWidth="1"/>
    <col min="1795" max="1795" width="12.33203125" customWidth="1"/>
    <col min="1796" max="1797" width="10.5" customWidth="1"/>
    <col min="1798" max="1798" width="11.6640625" customWidth="1"/>
    <col min="1799" max="1799" width="11.1640625" customWidth="1"/>
    <col min="1800" max="1800" width="10.5" customWidth="1"/>
    <col min="1801" max="1801" width="11.1640625" customWidth="1"/>
    <col min="1802" max="1802" width="15.5" customWidth="1"/>
    <col min="1803" max="1804" width="20.5" customWidth="1"/>
    <col min="2045" max="2045" width="24.83203125" customWidth="1"/>
    <col min="2046" max="2046" width="33" customWidth="1"/>
    <col min="2047" max="2047" width="5.5" customWidth="1"/>
    <col min="2048" max="2049" width="4.5" customWidth="1"/>
    <col min="2050" max="2050" width="5.5" customWidth="1"/>
    <col min="2051" max="2051" width="12.33203125" customWidth="1"/>
    <col min="2052" max="2053" width="10.5" customWidth="1"/>
    <col min="2054" max="2054" width="11.6640625" customWidth="1"/>
    <col min="2055" max="2055" width="11.1640625" customWidth="1"/>
    <col min="2056" max="2056" width="10.5" customWidth="1"/>
    <col min="2057" max="2057" width="11.1640625" customWidth="1"/>
    <col min="2058" max="2058" width="15.5" customWidth="1"/>
    <col min="2059" max="2060" width="20.5" customWidth="1"/>
    <col min="2301" max="2301" width="24.83203125" customWidth="1"/>
    <col min="2302" max="2302" width="33" customWidth="1"/>
    <col min="2303" max="2303" width="5.5" customWidth="1"/>
    <col min="2304" max="2305" width="4.5" customWidth="1"/>
    <col min="2306" max="2306" width="5.5" customWidth="1"/>
    <col min="2307" max="2307" width="12.33203125" customWidth="1"/>
    <col min="2308" max="2309" width="10.5" customWidth="1"/>
    <col min="2310" max="2310" width="11.6640625" customWidth="1"/>
    <col min="2311" max="2311" width="11.1640625" customWidth="1"/>
    <col min="2312" max="2312" width="10.5" customWidth="1"/>
    <col min="2313" max="2313" width="11.1640625" customWidth="1"/>
    <col min="2314" max="2314" width="15.5" customWidth="1"/>
    <col min="2315" max="2316" width="20.5" customWidth="1"/>
    <col min="2557" max="2557" width="24.83203125" customWidth="1"/>
    <col min="2558" max="2558" width="33" customWidth="1"/>
    <col min="2559" max="2559" width="5.5" customWidth="1"/>
    <col min="2560" max="2561" width="4.5" customWidth="1"/>
    <col min="2562" max="2562" width="5.5" customWidth="1"/>
    <col min="2563" max="2563" width="12.33203125" customWidth="1"/>
    <col min="2564" max="2565" width="10.5" customWidth="1"/>
    <col min="2566" max="2566" width="11.6640625" customWidth="1"/>
    <col min="2567" max="2567" width="11.1640625" customWidth="1"/>
    <col min="2568" max="2568" width="10.5" customWidth="1"/>
    <col min="2569" max="2569" width="11.1640625" customWidth="1"/>
    <col min="2570" max="2570" width="15.5" customWidth="1"/>
    <col min="2571" max="2572" width="20.5" customWidth="1"/>
    <col min="2813" max="2813" width="24.83203125" customWidth="1"/>
    <col min="2814" max="2814" width="33" customWidth="1"/>
    <col min="2815" max="2815" width="5.5" customWidth="1"/>
    <col min="2816" max="2817" width="4.5" customWidth="1"/>
    <col min="2818" max="2818" width="5.5" customWidth="1"/>
    <col min="2819" max="2819" width="12.33203125" customWidth="1"/>
    <col min="2820" max="2821" width="10.5" customWidth="1"/>
    <col min="2822" max="2822" width="11.6640625" customWidth="1"/>
    <col min="2823" max="2823" width="11.1640625" customWidth="1"/>
    <col min="2824" max="2824" width="10.5" customWidth="1"/>
    <col min="2825" max="2825" width="11.1640625" customWidth="1"/>
    <col min="2826" max="2826" width="15.5" customWidth="1"/>
    <col min="2827" max="2828" width="20.5" customWidth="1"/>
    <col min="3069" max="3069" width="24.83203125" customWidth="1"/>
    <col min="3070" max="3070" width="33" customWidth="1"/>
    <col min="3071" max="3071" width="5.5" customWidth="1"/>
    <col min="3072" max="3073" width="4.5" customWidth="1"/>
    <col min="3074" max="3074" width="5.5" customWidth="1"/>
    <col min="3075" max="3075" width="12.33203125" customWidth="1"/>
    <col min="3076" max="3077" width="10.5" customWidth="1"/>
    <col min="3078" max="3078" width="11.6640625" customWidth="1"/>
    <col min="3079" max="3079" width="11.1640625" customWidth="1"/>
    <col min="3080" max="3080" width="10.5" customWidth="1"/>
    <col min="3081" max="3081" width="11.1640625" customWidth="1"/>
    <col min="3082" max="3082" width="15.5" customWidth="1"/>
    <col min="3083" max="3084" width="20.5" customWidth="1"/>
    <col min="3325" max="3325" width="24.83203125" customWidth="1"/>
    <col min="3326" max="3326" width="33" customWidth="1"/>
    <col min="3327" max="3327" width="5.5" customWidth="1"/>
    <col min="3328" max="3329" width="4.5" customWidth="1"/>
    <col min="3330" max="3330" width="5.5" customWidth="1"/>
    <col min="3331" max="3331" width="12.33203125" customWidth="1"/>
    <col min="3332" max="3333" width="10.5" customWidth="1"/>
    <col min="3334" max="3334" width="11.6640625" customWidth="1"/>
    <col min="3335" max="3335" width="11.1640625" customWidth="1"/>
    <col min="3336" max="3336" width="10.5" customWidth="1"/>
    <col min="3337" max="3337" width="11.1640625" customWidth="1"/>
    <col min="3338" max="3338" width="15.5" customWidth="1"/>
    <col min="3339" max="3340" width="20.5" customWidth="1"/>
    <col min="3581" max="3581" width="24.83203125" customWidth="1"/>
    <col min="3582" max="3582" width="33" customWidth="1"/>
    <col min="3583" max="3583" width="5.5" customWidth="1"/>
    <col min="3584" max="3585" width="4.5" customWidth="1"/>
    <col min="3586" max="3586" width="5.5" customWidth="1"/>
    <col min="3587" max="3587" width="12.33203125" customWidth="1"/>
    <col min="3588" max="3589" width="10.5" customWidth="1"/>
    <col min="3590" max="3590" width="11.6640625" customWidth="1"/>
    <col min="3591" max="3591" width="11.1640625" customWidth="1"/>
    <col min="3592" max="3592" width="10.5" customWidth="1"/>
    <col min="3593" max="3593" width="11.1640625" customWidth="1"/>
    <col min="3594" max="3594" width="15.5" customWidth="1"/>
    <col min="3595" max="3596" width="20.5" customWidth="1"/>
    <col min="3837" max="3837" width="24.83203125" customWidth="1"/>
    <col min="3838" max="3838" width="33" customWidth="1"/>
    <col min="3839" max="3839" width="5.5" customWidth="1"/>
    <col min="3840" max="3841" width="4.5" customWidth="1"/>
    <col min="3842" max="3842" width="5.5" customWidth="1"/>
    <col min="3843" max="3843" width="12.33203125" customWidth="1"/>
    <col min="3844" max="3845" width="10.5" customWidth="1"/>
    <col min="3846" max="3846" width="11.6640625" customWidth="1"/>
    <col min="3847" max="3847" width="11.1640625" customWidth="1"/>
    <col min="3848" max="3848" width="10.5" customWidth="1"/>
    <col min="3849" max="3849" width="11.1640625" customWidth="1"/>
    <col min="3850" max="3850" width="15.5" customWidth="1"/>
    <col min="3851" max="3852" width="20.5" customWidth="1"/>
    <col min="4093" max="4093" width="24.83203125" customWidth="1"/>
    <col min="4094" max="4094" width="33" customWidth="1"/>
    <col min="4095" max="4095" width="5.5" customWidth="1"/>
    <col min="4096" max="4097" width="4.5" customWidth="1"/>
    <col min="4098" max="4098" width="5.5" customWidth="1"/>
    <col min="4099" max="4099" width="12.33203125" customWidth="1"/>
    <col min="4100" max="4101" width="10.5" customWidth="1"/>
    <col min="4102" max="4102" width="11.6640625" customWidth="1"/>
    <col min="4103" max="4103" width="11.1640625" customWidth="1"/>
    <col min="4104" max="4104" width="10.5" customWidth="1"/>
    <col min="4105" max="4105" width="11.1640625" customWidth="1"/>
    <col min="4106" max="4106" width="15.5" customWidth="1"/>
    <col min="4107" max="4108" width="20.5" customWidth="1"/>
    <col min="4349" max="4349" width="24.83203125" customWidth="1"/>
    <col min="4350" max="4350" width="33" customWidth="1"/>
    <col min="4351" max="4351" width="5.5" customWidth="1"/>
    <col min="4352" max="4353" width="4.5" customWidth="1"/>
    <col min="4354" max="4354" width="5.5" customWidth="1"/>
    <col min="4355" max="4355" width="12.33203125" customWidth="1"/>
    <col min="4356" max="4357" width="10.5" customWidth="1"/>
    <col min="4358" max="4358" width="11.6640625" customWidth="1"/>
    <col min="4359" max="4359" width="11.1640625" customWidth="1"/>
    <col min="4360" max="4360" width="10.5" customWidth="1"/>
    <col min="4361" max="4361" width="11.1640625" customWidth="1"/>
    <col min="4362" max="4362" width="15.5" customWidth="1"/>
    <col min="4363" max="4364" width="20.5" customWidth="1"/>
    <col min="4605" max="4605" width="24.83203125" customWidth="1"/>
    <col min="4606" max="4606" width="33" customWidth="1"/>
    <col min="4607" max="4607" width="5.5" customWidth="1"/>
    <col min="4608" max="4609" width="4.5" customWidth="1"/>
    <col min="4610" max="4610" width="5.5" customWidth="1"/>
    <col min="4611" max="4611" width="12.33203125" customWidth="1"/>
    <col min="4612" max="4613" width="10.5" customWidth="1"/>
    <col min="4614" max="4614" width="11.6640625" customWidth="1"/>
    <col min="4615" max="4615" width="11.1640625" customWidth="1"/>
    <col min="4616" max="4616" width="10.5" customWidth="1"/>
    <col min="4617" max="4617" width="11.1640625" customWidth="1"/>
    <col min="4618" max="4618" width="15.5" customWidth="1"/>
    <col min="4619" max="4620" width="20.5" customWidth="1"/>
    <col min="4861" max="4861" width="24.83203125" customWidth="1"/>
    <col min="4862" max="4862" width="33" customWidth="1"/>
    <col min="4863" max="4863" width="5.5" customWidth="1"/>
    <col min="4864" max="4865" width="4.5" customWidth="1"/>
    <col min="4866" max="4866" width="5.5" customWidth="1"/>
    <col min="4867" max="4867" width="12.33203125" customWidth="1"/>
    <col min="4868" max="4869" width="10.5" customWidth="1"/>
    <col min="4870" max="4870" width="11.6640625" customWidth="1"/>
    <col min="4871" max="4871" width="11.1640625" customWidth="1"/>
    <col min="4872" max="4872" width="10.5" customWidth="1"/>
    <col min="4873" max="4873" width="11.1640625" customWidth="1"/>
    <col min="4874" max="4874" width="15.5" customWidth="1"/>
    <col min="4875" max="4876" width="20.5" customWidth="1"/>
    <col min="5117" max="5117" width="24.83203125" customWidth="1"/>
    <col min="5118" max="5118" width="33" customWidth="1"/>
    <col min="5119" max="5119" width="5.5" customWidth="1"/>
    <col min="5120" max="5121" width="4.5" customWidth="1"/>
    <col min="5122" max="5122" width="5.5" customWidth="1"/>
    <col min="5123" max="5123" width="12.33203125" customWidth="1"/>
    <col min="5124" max="5125" width="10.5" customWidth="1"/>
    <col min="5126" max="5126" width="11.6640625" customWidth="1"/>
    <col min="5127" max="5127" width="11.1640625" customWidth="1"/>
    <col min="5128" max="5128" width="10.5" customWidth="1"/>
    <col min="5129" max="5129" width="11.1640625" customWidth="1"/>
    <col min="5130" max="5130" width="15.5" customWidth="1"/>
    <col min="5131" max="5132" width="20.5" customWidth="1"/>
    <col min="5373" max="5373" width="24.83203125" customWidth="1"/>
    <col min="5374" max="5374" width="33" customWidth="1"/>
    <col min="5375" max="5375" width="5.5" customWidth="1"/>
    <col min="5376" max="5377" width="4.5" customWidth="1"/>
    <col min="5378" max="5378" width="5.5" customWidth="1"/>
    <col min="5379" max="5379" width="12.33203125" customWidth="1"/>
    <col min="5380" max="5381" width="10.5" customWidth="1"/>
    <col min="5382" max="5382" width="11.6640625" customWidth="1"/>
    <col min="5383" max="5383" width="11.1640625" customWidth="1"/>
    <col min="5384" max="5384" width="10.5" customWidth="1"/>
    <col min="5385" max="5385" width="11.1640625" customWidth="1"/>
    <col min="5386" max="5386" width="15.5" customWidth="1"/>
    <col min="5387" max="5388" width="20.5" customWidth="1"/>
    <col min="5629" max="5629" width="24.83203125" customWidth="1"/>
    <col min="5630" max="5630" width="33" customWidth="1"/>
    <col min="5631" max="5631" width="5.5" customWidth="1"/>
    <col min="5632" max="5633" width="4.5" customWidth="1"/>
    <col min="5634" max="5634" width="5.5" customWidth="1"/>
    <col min="5635" max="5635" width="12.33203125" customWidth="1"/>
    <col min="5636" max="5637" width="10.5" customWidth="1"/>
    <col min="5638" max="5638" width="11.6640625" customWidth="1"/>
    <col min="5639" max="5639" width="11.1640625" customWidth="1"/>
    <col min="5640" max="5640" width="10.5" customWidth="1"/>
    <col min="5641" max="5641" width="11.1640625" customWidth="1"/>
    <col min="5642" max="5642" width="15.5" customWidth="1"/>
    <col min="5643" max="5644" width="20.5" customWidth="1"/>
    <col min="5885" max="5885" width="24.83203125" customWidth="1"/>
    <col min="5886" max="5886" width="33" customWidth="1"/>
    <col min="5887" max="5887" width="5.5" customWidth="1"/>
    <col min="5888" max="5889" width="4.5" customWidth="1"/>
    <col min="5890" max="5890" width="5.5" customWidth="1"/>
    <col min="5891" max="5891" width="12.33203125" customWidth="1"/>
    <col min="5892" max="5893" width="10.5" customWidth="1"/>
    <col min="5894" max="5894" width="11.6640625" customWidth="1"/>
    <col min="5895" max="5895" width="11.1640625" customWidth="1"/>
    <col min="5896" max="5896" width="10.5" customWidth="1"/>
    <col min="5897" max="5897" width="11.1640625" customWidth="1"/>
    <col min="5898" max="5898" width="15.5" customWidth="1"/>
    <col min="5899" max="5900" width="20.5" customWidth="1"/>
    <col min="6141" max="6141" width="24.83203125" customWidth="1"/>
    <col min="6142" max="6142" width="33" customWidth="1"/>
    <col min="6143" max="6143" width="5.5" customWidth="1"/>
    <col min="6144" max="6145" width="4.5" customWidth="1"/>
    <col min="6146" max="6146" width="5.5" customWidth="1"/>
    <col min="6147" max="6147" width="12.33203125" customWidth="1"/>
    <col min="6148" max="6149" width="10.5" customWidth="1"/>
    <col min="6150" max="6150" width="11.6640625" customWidth="1"/>
    <col min="6151" max="6151" width="11.1640625" customWidth="1"/>
    <col min="6152" max="6152" width="10.5" customWidth="1"/>
    <col min="6153" max="6153" width="11.1640625" customWidth="1"/>
    <col min="6154" max="6154" width="15.5" customWidth="1"/>
    <col min="6155" max="6156" width="20.5" customWidth="1"/>
    <col min="6397" max="6397" width="24.83203125" customWidth="1"/>
    <col min="6398" max="6398" width="33" customWidth="1"/>
    <col min="6399" max="6399" width="5.5" customWidth="1"/>
    <col min="6400" max="6401" width="4.5" customWidth="1"/>
    <col min="6402" max="6402" width="5.5" customWidth="1"/>
    <col min="6403" max="6403" width="12.33203125" customWidth="1"/>
    <col min="6404" max="6405" width="10.5" customWidth="1"/>
    <col min="6406" max="6406" width="11.6640625" customWidth="1"/>
    <col min="6407" max="6407" width="11.1640625" customWidth="1"/>
    <col min="6408" max="6408" width="10.5" customWidth="1"/>
    <col min="6409" max="6409" width="11.1640625" customWidth="1"/>
    <col min="6410" max="6410" width="15.5" customWidth="1"/>
    <col min="6411" max="6412" width="20.5" customWidth="1"/>
    <col min="6653" max="6653" width="24.83203125" customWidth="1"/>
    <col min="6654" max="6654" width="33" customWidth="1"/>
    <col min="6655" max="6655" width="5.5" customWidth="1"/>
    <col min="6656" max="6657" width="4.5" customWidth="1"/>
    <col min="6658" max="6658" width="5.5" customWidth="1"/>
    <col min="6659" max="6659" width="12.33203125" customWidth="1"/>
    <col min="6660" max="6661" width="10.5" customWidth="1"/>
    <col min="6662" max="6662" width="11.6640625" customWidth="1"/>
    <col min="6663" max="6663" width="11.1640625" customWidth="1"/>
    <col min="6664" max="6664" width="10.5" customWidth="1"/>
    <col min="6665" max="6665" width="11.1640625" customWidth="1"/>
    <col min="6666" max="6666" width="15.5" customWidth="1"/>
    <col min="6667" max="6668" width="20.5" customWidth="1"/>
    <col min="6909" max="6909" width="24.83203125" customWidth="1"/>
    <col min="6910" max="6910" width="33" customWidth="1"/>
    <col min="6911" max="6911" width="5.5" customWidth="1"/>
    <col min="6912" max="6913" width="4.5" customWidth="1"/>
    <col min="6914" max="6914" width="5.5" customWidth="1"/>
    <col min="6915" max="6915" width="12.33203125" customWidth="1"/>
    <col min="6916" max="6917" width="10.5" customWidth="1"/>
    <col min="6918" max="6918" width="11.6640625" customWidth="1"/>
    <col min="6919" max="6919" width="11.1640625" customWidth="1"/>
    <col min="6920" max="6920" width="10.5" customWidth="1"/>
    <col min="6921" max="6921" width="11.1640625" customWidth="1"/>
    <col min="6922" max="6922" width="15.5" customWidth="1"/>
    <col min="6923" max="6924" width="20.5" customWidth="1"/>
    <col min="7165" max="7165" width="24.83203125" customWidth="1"/>
    <col min="7166" max="7166" width="33" customWidth="1"/>
    <col min="7167" max="7167" width="5.5" customWidth="1"/>
    <col min="7168" max="7169" width="4.5" customWidth="1"/>
    <col min="7170" max="7170" width="5.5" customWidth="1"/>
    <col min="7171" max="7171" width="12.33203125" customWidth="1"/>
    <col min="7172" max="7173" width="10.5" customWidth="1"/>
    <col min="7174" max="7174" width="11.6640625" customWidth="1"/>
    <col min="7175" max="7175" width="11.1640625" customWidth="1"/>
    <col min="7176" max="7176" width="10.5" customWidth="1"/>
    <col min="7177" max="7177" width="11.1640625" customWidth="1"/>
    <col min="7178" max="7178" width="15.5" customWidth="1"/>
    <col min="7179" max="7180" width="20.5" customWidth="1"/>
    <col min="7421" max="7421" width="24.83203125" customWidth="1"/>
    <col min="7422" max="7422" width="33" customWidth="1"/>
    <col min="7423" max="7423" width="5.5" customWidth="1"/>
    <col min="7424" max="7425" width="4.5" customWidth="1"/>
    <col min="7426" max="7426" width="5.5" customWidth="1"/>
    <col min="7427" max="7427" width="12.33203125" customWidth="1"/>
    <col min="7428" max="7429" width="10.5" customWidth="1"/>
    <col min="7430" max="7430" width="11.6640625" customWidth="1"/>
    <col min="7431" max="7431" width="11.1640625" customWidth="1"/>
    <col min="7432" max="7432" width="10.5" customWidth="1"/>
    <col min="7433" max="7433" width="11.1640625" customWidth="1"/>
    <col min="7434" max="7434" width="15.5" customWidth="1"/>
    <col min="7435" max="7436" width="20.5" customWidth="1"/>
    <col min="7677" max="7677" width="24.83203125" customWidth="1"/>
    <col min="7678" max="7678" width="33" customWidth="1"/>
    <col min="7679" max="7679" width="5.5" customWidth="1"/>
    <col min="7680" max="7681" width="4.5" customWidth="1"/>
    <col min="7682" max="7682" width="5.5" customWidth="1"/>
    <col min="7683" max="7683" width="12.33203125" customWidth="1"/>
    <col min="7684" max="7685" width="10.5" customWidth="1"/>
    <col min="7686" max="7686" width="11.6640625" customWidth="1"/>
    <col min="7687" max="7687" width="11.1640625" customWidth="1"/>
    <col min="7688" max="7688" width="10.5" customWidth="1"/>
    <col min="7689" max="7689" width="11.1640625" customWidth="1"/>
    <col min="7690" max="7690" width="15.5" customWidth="1"/>
    <col min="7691" max="7692" width="20.5" customWidth="1"/>
    <col min="7933" max="7933" width="24.83203125" customWidth="1"/>
    <col min="7934" max="7934" width="33" customWidth="1"/>
    <col min="7935" max="7935" width="5.5" customWidth="1"/>
    <col min="7936" max="7937" width="4.5" customWidth="1"/>
    <col min="7938" max="7938" width="5.5" customWidth="1"/>
    <col min="7939" max="7939" width="12.33203125" customWidth="1"/>
    <col min="7940" max="7941" width="10.5" customWidth="1"/>
    <col min="7942" max="7942" width="11.6640625" customWidth="1"/>
    <col min="7943" max="7943" width="11.1640625" customWidth="1"/>
    <col min="7944" max="7944" width="10.5" customWidth="1"/>
    <col min="7945" max="7945" width="11.1640625" customWidth="1"/>
    <col min="7946" max="7946" width="15.5" customWidth="1"/>
    <col min="7947" max="7948" width="20.5" customWidth="1"/>
    <col min="8189" max="8189" width="24.83203125" customWidth="1"/>
    <col min="8190" max="8190" width="33" customWidth="1"/>
    <col min="8191" max="8191" width="5.5" customWidth="1"/>
    <col min="8192" max="8193" width="4.5" customWidth="1"/>
    <col min="8194" max="8194" width="5.5" customWidth="1"/>
    <col min="8195" max="8195" width="12.33203125" customWidth="1"/>
    <col min="8196" max="8197" width="10.5" customWidth="1"/>
    <col min="8198" max="8198" width="11.6640625" customWidth="1"/>
    <col min="8199" max="8199" width="11.1640625" customWidth="1"/>
    <col min="8200" max="8200" width="10.5" customWidth="1"/>
    <col min="8201" max="8201" width="11.1640625" customWidth="1"/>
    <col min="8202" max="8202" width="15.5" customWidth="1"/>
    <col min="8203" max="8204" width="20.5" customWidth="1"/>
    <col min="8445" max="8445" width="24.83203125" customWidth="1"/>
    <col min="8446" max="8446" width="33" customWidth="1"/>
    <col min="8447" max="8447" width="5.5" customWidth="1"/>
    <col min="8448" max="8449" width="4.5" customWidth="1"/>
    <col min="8450" max="8450" width="5.5" customWidth="1"/>
    <col min="8451" max="8451" width="12.33203125" customWidth="1"/>
    <col min="8452" max="8453" width="10.5" customWidth="1"/>
    <col min="8454" max="8454" width="11.6640625" customWidth="1"/>
    <col min="8455" max="8455" width="11.1640625" customWidth="1"/>
    <col min="8456" max="8456" width="10.5" customWidth="1"/>
    <col min="8457" max="8457" width="11.1640625" customWidth="1"/>
    <col min="8458" max="8458" width="15.5" customWidth="1"/>
    <col min="8459" max="8460" width="20.5" customWidth="1"/>
    <col min="8701" max="8701" width="24.83203125" customWidth="1"/>
    <col min="8702" max="8702" width="33" customWidth="1"/>
    <col min="8703" max="8703" width="5.5" customWidth="1"/>
    <col min="8704" max="8705" width="4.5" customWidth="1"/>
    <col min="8706" max="8706" width="5.5" customWidth="1"/>
    <col min="8707" max="8707" width="12.33203125" customWidth="1"/>
    <col min="8708" max="8709" width="10.5" customWidth="1"/>
    <col min="8710" max="8710" width="11.6640625" customWidth="1"/>
    <col min="8711" max="8711" width="11.1640625" customWidth="1"/>
    <col min="8712" max="8712" width="10.5" customWidth="1"/>
    <col min="8713" max="8713" width="11.1640625" customWidth="1"/>
    <col min="8714" max="8714" width="15.5" customWidth="1"/>
    <col min="8715" max="8716" width="20.5" customWidth="1"/>
    <col min="8957" max="8957" width="24.83203125" customWidth="1"/>
    <col min="8958" max="8958" width="33" customWidth="1"/>
    <col min="8959" max="8959" width="5.5" customWidth="1"/>
    <col min="8960" max="8961" width="4.5" customWidth="1"/>
    <col min="8962" max="8962" width="5.5" customWidth="1"/>
    <col min="8963" max="8963" width="12.33203125" customWidth="1"/>
    <col min="8964" max="8965" width="10.5" customWidth="1"/>
    <col min="8966" max="8966" width="11.6640625" customWidth="1"/>
    <col min="8967" max="8967" width="11.1640625" customWidth="1"/>
    <col min="8968" max="8968" width="10.5" customWidth="1"/>
    <col min="8969" max="8969" width="11.1640625" customWidth="1"/>
    <col min="8970" max="8970" width="15.5" customWidth="1"/>
    <col min="8971" max="8972" width="20.5" customWidth="1"/>
    <col min="9213" max="9213" width="24.83203125" customWidth="1"/>
    <col min="9214" max="9214" width="33" customWidth="1"/>
    <col min="9215" max="9215" width="5.5" customWidth="1"/>
    <col min="9216" max="9217" width="4.5" customWidth="1"/>
    <col min="9218" max="9218" width="5.5" customWidth="1"/>
    <col min="9219" max="9219" width="12.33203125" customWidth="1"/>
    <col min="9220" max="9221" width="10.5" customWidth="1"/>
    <col min="9222" max="9222" width="11.6640625" customWidth="1"/>
    <col min="9223" max="9223" width="11.1640625" customWidth="1"/>
    <col min="9224" max="9224" width="10.5" customWidth="1"/>
    <col min="9225" max="9225" width="11.1640625" customWidth="1"/>
    <col min="9226" max="9226" width="15.5" customWidth="1"/>
    <col min="9227" max="9228" width="20.5" customWidth="1"/>
    <col min="9469" max="9469" width="24.83203125" customWidth="1"/>
    <col min="9470" max="9470" width="33" customWidth="1"/>
    <col min="9471" max="9471" width="5.5" customWidth="1"/>
    <col min="9472" max="9473" width="4.5" customWidth="1"/>
    <col min="9474" max="9474" width="5.5" customWidth="1"/>
    <col min="9475" max="9475" width="12.33203125" customWidth="1"/>
    <col min="9476" max="9477" width="10.5" customWidth="1"/>
    <col min="9478" max="9478" width="11.6640625" customWidth="1"/>
    <col min="9479" max="9479" width="11.1640625" customWidth="1"/>
    <col min="9480" max="9480" width="10.5" customWidth="1"/>
    <col min="9481" max="9481" width="11.1640625" customWidth="1"/>
    <col min="9482" max="9482" width="15.5" customWidth="1"/>
    <col min="9483" max="9484" width="20.5" customWidth="1"/>
    <col min="9725" max="9725" width="24.83203125" customWidth="1"/>
    <col min="9726" max="9726" width="33" customWidth="1"/>
    <col min="9727" max="9727" width="5.5" customWidth="1"/>
    <col min="9728" max="9729" width="4.5" customWidth="1"/>
    <col min="9730" max="9730" width="5.5" customWidth="1"/>
    <col min="9731" max="9731" width="12.33203125" customWidth="1"/>
    <col min="9732" max="9733" width="10.5" customWidth="1"/>
    <col min="9734" max="9734" width="11.6640625" customWidth="1"/>
    <col min="9735" max="9735" width="11.1640625" customWidth="1"/>
    <col min="9736" max="9736" width="10.5" customWidth="1"/>
    <col min="9737" max="9737" width="11.1640625" customWidth="1"/>
    <col min="9738" max="9738" width="15.5" customWidth="1"/>
    <col min="9739" max="9740" width="20.5" customWidth="1"/>
    <col min="9981" max="9981" width="24.83203125" customWidth="1"/>
    <col min="9982" max="9982" width="33" customWidth="1"/>
    <col min="9983" max="9983" width="5.5" customWidth="1"/>
    <col min="9984" max="9985" width="4.5" customWidth="1"/>
    <col min="9986" max="9986" width="5.5" customWidth="1"/>
    <col min="9987" max="9987" width="12.33203125" customWidth="1"/>
    <col min="9988" max="9989" width="10.5" customWidth="1"/>
    <col min="9990" max="9990" width="11.6640625" customWidth="1"/>
    <col min="9991" max="9991" width="11.1640625" customWidth="1"/>
    <col min="9992" max="9992" width="10.5" customWidth="1"/>
    <col min="9993" max="9993" width="11.1640625" customWidth="1"/>
    <col min="9994" max="9994" width="15.5" customWidth="1"/>
    <col min="9995" max="9996" width="20.5" customWidth="1"/>
    <col min="10237" max="10237" width="24.83203125" customWidth="1"/>
    <col min="10238" max="10238" width="33" customWidth="1"/>
    <col min="10239" max="10239" width="5.5" customWidth="1"/>
    <col min="10240" max="10241" width="4.5" customWidth="1"/>
    <col min="10242" max="10242" width="5.5" customWidth="1"/>
    <col min="10243" max="10243" width="12.33203125" customWidth="1"/>
    <col min="10244" max="10245" width="10.5" customWidth="1"/>
    <col min="10246" max="10246" width="11.6640625" customWidth="1"/>
    <col min="10247" max="10247" width="11.1640625" customWidth="1"/>
    <col min="10248" max="10248" width="10.5" customWidth="1"/>
    <col min="10249" max="10249" width="11.1640625" customWidth="1"/>
    <col min="10250" max="10250" width="15.5" customWidth="1"/>
    <col min="10251" max="10252" width="20.5" customWidth="1"/>
    <col min="10493" max="10493" width="24.83203125" customWidth="1"/>
    <col min="10494" max="10494" width="33" customWidth="1"/>
    <col min="10495" max="10495" width="5.5" customWidth="1"/>
    <col min="10496" max="10497" width="4.5" customWidth="1"/>
    <col min="10498" max="10498" width="5.5" customWidth="1"/>
    <col min="10499" max="10499" width="12.33203125" customWidth="1"/>
    <col min="10500" max="10501" width="10.5" customWidth="1"/>
    <col min="10502" max="10502" width="11.6640625" customWidth="1"/>
    <col min="10503" max="10503" width="11.1640625" customWidth="1"/>
    <col min="10504" max="10504" width="10.5" customWidth="1"/>
    <col min="10505" max="10505" width="11.1640625" customWidth="1"/>
    <col min="10506" max="10506" width="15.5" customWidth="1"/>
    <col min="10507" max="10508" width="20.5" customWidth="1"/>
    <col min="10749" max="10749" width="24.83203125" customWidth="1"/>
    <col min="10750" max="10750" width="33" customWidth="1"/>
    <col min="10751" max="10751" width="5.5" customWidth="1"/>
    <col min="10752" max="10753" width="4.5" customWidth="1"/>
    <col min="10754" max="10754" width="5.5" customWidth="1"/>
    <col min="10755" max="10755" width="12.33203125" customWidth="1"/>
    <col min="10756" max="10757" width="10.5" customWidth="1"/>
    <col min="10758" max="10758" width="11.6640625" customWidth="1"/>
    <col min="10759" max="10759" width="11.1640625" customWidth="1"/>
    <col min="10760" max="10760" width="10.5" customWidth="1"/>
    <col min="10761" max="10761" width="11.1640625" customWidth="1"/>
    <col min="10762" max="10762" width="15.5" customWidth="1"/>
    <col min="10763" max="10764" width="20.5" customWidth="1"/>
    <col min="11005" max="11005" width="24.83203125" customWidth="1"/>
    <col min="11006" max="11006" width="33" customWidth="1"/>
    <col min="11007" max="11007" width="5.5" customWidth="1"/>
    <col min="11008" max="11009" width="4.5" customWidth="1"/>
    <col min="11010" max="11010" width="5.5" customWidth="1"/>
    <col min="11011" max="11011" width="12.33203125" customWidth="1"/>
    <col min="11012" max="11013" width="10.5" customWidth="1"/>
    <col min="11014" max="11014" width="11.6640625" customWidth="1"/>
    <col min="11015" max="11015" width="11.1640625" customWidth="1"/>
    <col min="11016" max="11016" width="10.5" customWidth="1"/>
    <col min="11017" max="11017" width="11.1640625" customWidth="1"/>
    <col min="11018" max="11018" width="15.5" customWidth="1"/>
    <col min="11019" max="11020" width="20.5" customWidth="1"/>
    <col min="11261" max="11261" width="24.83203125" customWidth="1"/>
    <col min="11262" max="11262" width="33" customWidth="1"/>
    <col min="11263" max="11263" width="5.5" customWidth="1"/>
    <col min="11264" max="11265" width="4.5" customWidth="1"/>
    <col min="11266" max="11266" width="5.5" customWidth="1"/>
    <col min="11267" max="11267" width="12.33203125" customWidth="1"/>
    <col min="11268" max="11269" width="10.5" customWidth="1"/>
    <col min="11270" max="11270" width="11.6640625" customWidth="1"/>
    <col min="11271" max="11271" width="11.1640625" customWidth="1"/>
    <col min="11272" max="11272" width="10.5" customWidth="1"/>
    <col min="11273" max="11273" width="11.1640625" customWidth="1"/>
    <col min="11274" max="11274" width="15.5" customWidth="1"/>
    <col min="11275" max="11276" width="20.5" customWidth="1"/>
    <col min="11517" max="11517" width="24.83203125" customWidth="1"/>
    <col min="11518" max="11518" width="33" customWidth="1"/>
    <col min="11519" max="11519" width="5.5" customWidth="1"/>
    <col min="11520" max="11521" width="4.5" customWidth="1"/>
    <col min="11522" max="11522" width="5.5" customWidth="1"/>
    <col min="11523" max="11523" width="12.33203125" customWidth="1"/>
    <col min="11524" max="11525" width="10.5" customWidth="1"/>
    <col min="11526" max="11526" width="11.6640625" customWidth="1"/>
    <col min="11527" max="11527" width="11.1640625" customWidth="1"/>
    <col min="11528" max="11528" width="10.5" customWidth="1"/>
    <col min="11529" max="11529" width="11.1640625" customWidth="1"/>
    <col min="11530" max="11530" width="15.5" customWidth="1"/>
    <col min="11531" max="11532" width="20.5" customWidth="1"/>
    <col min="11773" max="11773" width="24.83203125" customWidth="1"/>
    <col min="11774" max="11774" width="33" customWidth="1"/>
    <col min="11775" max="11775" width="5.5" customWidth="1"/>
    <col min="11776" max="11777" width="4.5" customWidth="1"/>
    <col min="11778" max="11778" width="5.5" customWidth="1"/>
    <col min="11779" max="11779" width="12.33203125" customWidth="1"/>
    <col min="11780" max="11781" width="10.5" customWidth="1"/>
    <col min="11782" max="11782" width="11.6640625" customWidth="1"/>
    <col min="11783" max="11783" width="11.1640625" customWidth="1"/>
    <col min="11784" max="11784" width="10.5" customWidth="1"/>
    <col min="11785" max="11785" width="11.1640625" customWidth="1"/>
    <col min="11786" max="11786" width="15.5" customWidth="1"/>
    <col min="11787" max="11788" width="20.5" customWidth="1"/>
    <col min="12029" max="12029" width="24.83203125" customWidth="1"/>
    <col min="12030" max="12030" width="33" customWidth="1"/>
    <col min="12031" max="12031" width="5.5" customWidth="1"/>
    <col min="12032" max="12033" width="4.5" customWidth="1"/>
    <col min="12034" max="12034" width="5.5" customWidth="1"/>
    <col min="12035" max="12035" width="12.33203125" customWidth="1"/>
    <col min="12036" max="12037" width="10.5" customWidth="1"/>
    <col min="12038" max="12038" width="11.6640625" customWidth="1"/>
    <col min="12039" max="12039" width="11.1640625" customWidth="1"/>
    <col min="12040" max="12040" width="10.5" customWidth="1"/>
    <col min="12041" max="12041" width="11.1640625" customWidth="1"/>
    <col min="12042" max="12042" width="15.5" customWidth="1"/>
    <col min="12043" max="12044" width="20.5" customWidth="1"/>
    <col min="12285" max="12285" width="24.83203125" customWidth="1"/>
    <col min="12286" max="12286" width="33" customWidth="1"/>
    <col min="12287" max="12287" width="5.5" customWidth="1"/>
    <col min="12288" max="12289" width="4.5" customWidth="1"/>
    <col min="12290" max="12290" width="5.5" customWidth="1"/>
    <col min="12291" max="12291" width="12.33203125" customWidth="1"/>
    <col min="12292" max="12293" width="10.5" customWidth="1"/>
    <col min="12294" max="12294" width="11.6640625" customWidth="1"/>
    <col min="12295" max="12295" width="11.1640625" customWidth="1"/>
    <col min="12296" max="12296" width="10.5" customWidth="1"/>
    <col min="12297" max="12297" width="11.1640625" customWidth="1"/>
    <col min="12298" max="12298" width="15.5" customWidth="1"/>
    <col min="12299" max="12300" width="20.5" customWidth="1"/>
    <col min="12541" max="12541" width="24.83203125" customWidth="1"/>
    <col min="12542" max="12542" width="33" customWidth="1"/>
    <col min="12543" max="12543" width="5.5" customWidth="1"/>
    <col min="12544" max="12545" width="4.5" customWidth="1"/>
    <col min="12546" max="12546" width="5.5" customWidth="1"/>
    <col min="12547" max="12547" width="12.33203125" customWidth="1"/>
    <col min="12548" max="12549" width="10.5" customWidth="1"/>
    <col min="12550" max="12550" width="11.6640625" customWidth="1"/>
    <col min="12551" max="12551" width="11.1640625" customWidth="1"/>
    <col min="12552" max="12552" width="10.5" customWidth="1"/>
    <col min="12553" max="12553" width="11.1640625" customWidth="1"/>
    <col min="12554" max="12554" width="15.5" customWidth="1"/>
    <col min="12555" max="12556" width="20.5" customWidth="1"/>
    <col min="12797" max="12797" width="24.83203125" customWidth="1"/>
    <col min="12798" max="12798" width="33" customWidth="1"/>
    <col min="12799" max="12799" width="5.5" customWidth="1"/>
    <col min="12800" max="12801" width="4.5" customWidth="1"/>
    <col min="12802" max="12802" width="5.5" customWidth="1"/>
    <col min="12803" max="12803" width="12.33203125" customWidth="1"/>
    <col min="12804" max="12805" width="10.5" customWidth="1"/>
    <col min="12806" max="12806" width="11.6640625" customWidth="1"/>
    <col min="12807" max="12807" width="11.1640625" customWidth="1"/>
    <col min="12808" max="12808" width="10.5" customWidth="1"/>
    <col min="12809" max="12809" width="11.1640625" customWidth="1"/>
    <col min="12810" max="12810" width="15.5" customWidth="1"/>
    <col min="12811" max="12812" width="20.5" customWidth="1"/>
    <col min="13053" max="13053" width="24.83203125" customWidth="1"/>
    <col min="13054" max="13054" width="33" customWidth="1"/>
    <col min="13055" max="13055" width="5.5" customWidth="1"/>
    <col min="13056" max="13057" width="4.5" customWidth="1"/>
    <col min="13058" max="13058" width="5.5" customWidth="1"/>
    <col min="13059" max="13059" width="12.33203125" customWidth="1"/>
    <col min="13060" max="13061" width="10.5" customWidth="1"/>
    <col min="13062" max="13062" width="11.6640625" customWidth="1"/>
    <col min="13063" max="13063" width="11.1640625" customWidth="1"/>
    <col min="13064" max="13064" width="10.5" customWidth="1"/>
    <col min="13065" max="13065" width="11.1640625" customWidth="1"/>
    <col min="13066" max="13066" width="15.5" customWidth="1"/>
    <col min="13067" max="13068" width="20.5" customWidth="1"/>
    <col min="13309" max="13309" width="24.83203125" customWidth="1"/>
    <col min="13310" max="13310" width="33" customWidth="1"/>
    <col min="13311" max="13311" width="5.5" customWidth="1"/>
    <col min="13312" max="13313" width="4.5" customWidth="1"/>
    <col min="13314" max="13314" width="5.5" customWidth="1"/>
    <col min="13315" max="13315" width="12.33203125" customWidth="1"/>
    <col min="13316" max="13317" width="10.5" customWidth="1"/>
    <col min="13318" max="13318" width="11.6640625" customWidth="1"/>
    <col min="13319" max="13319" width="11.1640625" customWidth="1"/>
    <col min="13320" max="13320" width="10.5" customWidth="1"/>
    <col min="13321" max="13321" width="11.1640625" customWidth="1"/>
    <col min="13322" max="13322" width="15.5" customWidth="1"/>
    <col min="13323" max="13324" width="20.5" customWidth="1"/>
    <col min="13565" max="13565" width="24.83203125" customWidth="1"/>
    <col min="13566" max="13566" width="33" customWidth="1"/>
    <col min="13567" max="13567" width="5.5" customWidth="1"/>
    <col min="13568" max="13569" width="4.5" customWidth="1"/>
    <col min="13570" max="13570" width="5.5" customWidth="1"/>
    <col min="13571" max="13571" width="12.33203125" customWidth="1"/>
    <col min="13572" max="13573" width="10.5" customWidth="1"/>
    <col min="13574" max="13574" width="11.6640625" customWidth="1"/>
    <col min="13575" max="13575" width="11.1640625" customWidth="1"/>
    <col min="13576" max="13576" width="10.5" customWidth="1"/>
    <col min="13577" max="13577" width="11.1640625" customWidth="1"/>
    <col min="13578" max="13578" width="15.5" customWidth="1"/>
    <col min="13579" max="13580" width="20.5" customWidth="1"/>
    <col min="13821" max="13821" width="24.83203125" customWidth="1"/>
    <col min="13822" max="13822" width="33" customWidth="1"/>
    <col min="13823" max="13823" width="5.5" customWidth="1"/>
    <col min="13824" max="13825" width="4.5" customWidth="1"/>
    <col min="13826" max="13826" width="5.5" customWidth="1"/>
    <col min="13827" max="13827" width="12.33203125" customWidth="1"/>
    <col min="13828" max="13829" width="10.5" customWidth="1"/>
    <col min="13830" max="13830" width="11.6640625" customWidth="1"/>
    <col min="13831" max="13831" width="11.1640625" customWidth="1"/>
    <col min="13832" max="13832" width="10.5" customWidth="1"/>
    <col min="13833" max="13833" width="11.1640625" customWidth="1"/>
    <col min="13834" max="13834" width="15.5" customWidth="1"/>
    <col min="13835" max="13836" width="20.5" customWidth="1"/>
    <col min="14077" max="14077" width="24.83203125" customWidth="1"/>
    <col min="14078" max="14078" width="33" customWidth="1"/>
    <col min="14079" max="14079" width="5.5" customWidth="1"/>
    <col min="14080" max="14081" width="4.5" customWidth="1"/>
    <col min="14082" max="14082" width="5.5" customWidth="1"/>
    <col min="14083" max="14083" width="12.33203125" customWidth="1"/>
    <col min="14084" max="14085" width="10.5" customWidth="1"/>
    <col min="14086" max="14086" width="11.6640625" customWidth="1"/>
    <col min="14087" max="14087" width="11.1640625" customWidth="1"/>
    <col min="14088" max="14088" width="10.5" customWidth="1"/>
    <col min="14089" max="14089" width="11.1640625" customWidth="1"/>
    <col min="14090" max="14090" width="15.5" customWidth="1"/>
    <col min="14091" max="14092" width="20.5" customWidth="1"/>
    <col min="14333" max="14333" width="24.83203125" customWidth="1"/>
    <col min="14334" max="14334" width="33" customWidth="1"/>
    <col min="14335" max="14335" width="5.5" customWidth="1"/>
    <col min="14336" max="14337" width="4.5" customWidth="1"/>
    <col min="14338" max="14338" width="5.5" customWidth="1"/>
    <col min="14339" max="14339" width="12.33203125" customWidth="1"/>
    <col min="14340" max="14341" width="10.5" customWidth="1"/>
    <col min="14342" max="14342" width="11.6640625" customWidth="1"/>
    <col min="14343" max="14343" width="11.1640625" customWidth="1"/>
    <col min="14344" max="14344" width="10.5" customWidth="1"/>
    <col min="14345" max="14345" width="11.1640625" customWidth="1"/>
    <col min="14346" max="14346" width="15.5" customWidth="1"/>
    <col min="14347" max="14348" width="20.5" customWidth="1"/>
    <col min="14589" max="14589" width="24.83203125" customWidth="1"/>
    <col min="14590" max="14590" width="33" customWidth="1"/>
    <col min="14591" max="14591" width="5.5" customWidth="1"/>
    <col min="14592" max="14593" width="4.5" customWidth="1"/>
    <col min="14594" max="14594" width="5.5" customWidth="1"/>
    <col min="14595" max="14595" width="12.33203125" customWidth="1"/>
    <col min="14596" max="14597" width="10.5" customWidth="1"/>
    <col min="14598" max="14598" width="11.6640625" customWidth="1"/>
    <col min="14599" max="14599" width="11.1640625" customWidth="1"/>
    <col min="14600" max="14600" width="10.5" customWidth="1"/>
    <col min="14601" max="14601" width="11.1640625" customWidth="1"/>
    <col min="14602" max="14602" width="15.5" customWidth="1"/>
    <col min="14603" max="14604" width="20.5" customWidth="1"/>
    <col min="14845" max="14845" width="24.83203125" customWidth="1"/>
    <col min="14846" max="14846" width="33" customWidth="1"/>
    <col min="14847" max="14847" width="5.5" customWidth="1"/>
    <col min="14848" max="14849" width="4.5" customWidth="1"/>
    <col min="14850" max="14850" width="5.5" customWidth="1"/>
    <col min="14851" max="14851" width="12.33203125" customWidth="1"/>
    <col min="14852" max="14853" width="10.5" customWidth="1"/>
    <col min="14854" max="14854" width="11.6640625" customWidth="1"/>
    <col min="14855" max="14855" width="11.1640625" customWidth="1"/>
    <col min="14856" max="14856" width="10.5" customWidth="1"/>
    <col min="14857" max="14857" width="11.1640625" customWidth="1"/>
    <col min="14858" max="14858" width="15.5" customWidth="1"/>
    <col min="14859" max="14860" width="20.5" customWidth="1"/>
    <col min="15101" max="15101" width="24.83203125" customWidth="1"/>
    <col min="15102" max="15102" width="33" customWidth="1"/>
    <col min="15103" max="15103" width="5.5" customWidth="1"/>
    <col min="15104" max="15105" width="4.5" customWidth="1"/>
    <col min="15106" max="15106" width="5.5" customWidth="1"/>
    <col min="15107" max="15107" width="12.33203125" customWidth="1"/>
    <col min="15108" max="15109" width="10.5" customWidth="1"/>
    <col min="15110" max="15110" width="11.6640625" customWidth="1"/>
    <col min="15111" max="15111" width="11.1640625" customWidth="1"/>
    <col min="15112" max="15112" width="10.5" customWidth="1"/>
    <col min="15113" max="15113" width="11.1640625" customWidth="1"/>
    <col min="15114" max="15114" width="15.5" customWidth="1"/>
    <col min="15115" max="15116" width="20.5" customWidth="1"/>
    <col min="15357" max="15357" width="24.83203125" customWidth="1"/>
    <col min="15358" max="15358" width="33" customWidth="1"/>
    <col min="15359" max="15359" width="5.5" customWidth="1"/>
    <col min="15360" max="15361" width="4.5" customWidth="1"/>
    <col min="15362" max="15362" width="5.5" customWidth="1"/>
    <col min="15363" max="15363" width="12.33203125" customWidth="1"/>
    <col min="15364" max="15365" width="10.5" customWidth="1"/>
    <col min="15366" max="15366" width="11.6640625" customWidth="1"/>
    <col min="15367" max="15367" width="11.1640625" customWidth="1"/>
    <col min="15368" max="15368" width="10.5" customWidth="1"/>
    <col min="15369" max="15369" width="11.1640625" customWidth="1"/>
    <col min="15370" max="15370" width="15.5" customWidth="1"/>
    <col min="15371" max="15372" width="20.5" customWidth="1"/>
    <col min="15613" max="15613" width="24.83203125" customWidth="1"/>
    <col min="15614" max="15614" width="33" customWidth="1"/>
    <col min="15615" max="15615" width="5.5" customWidth="1"/>
    <col min="15616" max="15617" width="4.5" customWidth="1"/>
    <col min="15618" max="15618" width="5.5" customWidth="1"/>
    <col min="15619" max="15619" width="12.33203125" customWidth="1"/>
    <col min="15620" max="15621" width="10.5" customWidth="1"/>
    <col min="15622" max="15622" width="11.6640625" customWidth="1"/>
    <col min="15623" max="15623" width="11.1640625" customWidth="1"/>
    <col min="15624" max="15624" width="10.5" customWidth="1"/>
    <col min="15625" max="15625" width="11.1640625" customWidth="1"/>
    <col min="15626" max="15626" width="15.5" customWidth="1"/>
    <col min="15627" max="15628" width="20.5" customWidth="1"/>
    <col min="15869" max="15869" width="24.83203125" customWidth="1"/>
    <col min="15870" max="15870" width="33" customWidth="1"/>
    <col min="15871" max="15871" width="5.5" customWidth="1"/>
    <col min="15872" max="15873" width="4.5" customWidth="1"/>
    <col min="15874" max="15874" width="5.5" customWidth="1"/>
    <col min="15875" max="15875" width="12.33203125" customWidth="1"/>
    <col min="15876" max="15877" width="10.5" customWidth="1"/>
    <col min="15878" max="15878" width="11.6640625" customWidth="1"/>
    <col min="15879" max="15879" width="11.1640625" customWidth="1"/>
    <col min="15880" max="15880" width="10.5" customWidth="1"/>
    <col min="15881" max="15881" width="11.1640625" customWidth="1"/>
    <col min="15882" max="15882" width="15.5" customWidth="1"/>
    <col min="15883" max="15884" width="20.5" customWidth="1"/>
    <col min="16125" max="16125" width="24.83203125" customWidth="1"/>
    <col min="16126" max="16126" width="33" customWidth="1"/>
    <col min="16127" max="16127" width="5.5" customWidth="1"/>
    <col min="16128" max="16129" width="4.5" customWidth="1"/>
    <col min="16130" max="16130" width="5.5" customWidth="1"/>
    <col min="16131" max="16131" width="12.33203125" customWidth="1"/>
    <col min="16132" max="16133" width="10.5" customWidth="1"/>
    <col min="16134" max="16134" width="11.6640625" customWidth="1"/>
    <col min="16135" max="16135" width="11.1640625" customWidth="1"/>
    <col min="16136" max="16136" width="10.5" customWidth="1"/>
    <col min="16137" max="16137" width="11.1640625" customWidth="1"/>
    <col min="16138" max="16138" width="15.5" customWidth="1"/>
    <col min="16139" max="16140" width="20.5" customWidth="1"/>
  </cols>
  <sheetData>
    <row r="1" spans="1:17" s="1" customFormat="1" ht="20" customHeight="1">
      <c r="A1" s="36" t="s">
        <v>436</v>
      </c>
      <c r="B1" s="36"/>
      <c r="C1" s="36"/>
      <c r="D1" s="36"/>
      <c r="E1" s="36"/>
      <c r="F1" s="36"/>
      <c r="G1" s="247"/>
      <c r="H1" s="36"/>
      <c r="I1" s="36"/>
      <c r="J1" s="36"/>
      <c r="K1" s="36"/>
      <c r="L1" s="36"/>
      <c r="M1" s="36"/>
      <c r="N1" s="36"/>
      <c r="O1" s="36"/>
      <c r="P1" s="36"/>
      <c r="Q1" s="132"/>
    </row>
    <row r="2" spans="1:17" s="1" customFormat="1" ht="16" customHeight="1">
      <c r="A2" s="247" t="s">
        <v>667</v>
      </c>
      <c r="B2" s="29"/>
      <c r="C2" s="29"/>
      <c r="D2" s="29"/>
      <c r="E2" s="29"/>
      <c r="F2" s="29"/>
      <c r="G2" s="247"/>
      <c r="H2" s="29"/>
      <c r="I2" s="29"/>
      <c r="J2" s="29"/>
      <c r="K2" s="29"/>
      <c r="L2" s="29"/>
      <c r="M2" s="29"/>
      <c r="N2" s="248"/>
      <c r="O2" s="29"/>
      <c r="P2" s="29"/>
      <c r="Q2" s="132"/>
    </row>
    <row r="3" spans="1:17" ht="65" customHeight="1">
      <c r="A3" s="259" t="s">
        <v>498</v>
      </c>
      <c r="B3" s="206" t="s">
        <v>430</v>
      </c>
      <c r="C3" s="261" t="s">
        <v>112</v>
      </c>
      <c r="D3" s="261"/>
      <c r="E3" s="261"/>
      <c r="F3" s="261"/>
      <c r="G3" s="260" t="s">
        <v>240</v>
      </c>
      <c r="H3" s="260" t="s">
        <v>129</v>
      </c>
      <c r="I3" s="260" t="s">
        <v>162</v>
      </c>
      <c r="J3" s="259" t="s">
        <v>195</v>
      </c>
      <c r="K3" s="259" t="s">
        <v>196</v>
      </c>
      <c r="L3" s="259" t="s">
        <v>197</v>
      </c>
      <c r="M3" s="259" t="s">
        <v>198</v>
      </c>
      <c r="N3" s="260" t="s">
        <v>114</v>
      </c>
      <c r="O3" s="259" t="s">
        <v>115</v>
      </c>
      <c r="P3" s="260"/>
    </row>
    <row r="4" spans="1:17" ht="30" customHeight="1">
      <c r="A4" s="260"/>
      <c r="B4" s="207" t="s">
        <v>108</v>
      </c>
      <c r="C4" s="259" t="s">
        <v>89</v>
      </c>
      <c r="D4" s="260" t="s">
        <v>90</v>
      </c>
      <c r="E4" s="260" t="s">
        <v>107</v>
      </c>
      <c r="F4" s="261" t="s">
        <v>88</v>
      </c>
      <c r="G4" s="260"/>
      <c r="H4" s="260"/>
      <c r="I4" s="260"/>
      <c r="J4" s="260"/>
      <c r="K4" s="259"/>
      <c r="L4" s="260"/>
      <c r="M4" s="260"/>
      <c r="N4" s="260"/>
      <c r="O4" s="260" t="s">
        <v>116</v>
      </c>
      <c r="P4" s="260" t="s">
        <v>117</v>
      </c>
    </row>
    <row r="5" spans="1:17" ht="32" customHeight="1">
      <c r="A5" s="260"/>
      <c r="B5" s="207" t="s">
        <v>109</v>
      </c>
      <c r="C5" s="259"/>
      <c r="D5" s="260"/>
      <c r="E5" s="260"/>
      <c r="F5" s="261"/>
      <c r="G5" s="260"/>
      <c r="H5" s="260"/>
      <c r="I5" s="260"/>
      <c r="J5" s="260"/>
      <c r="K5" s="259"/>
      <c r="L5" s="260"/>
      <c r="M5" s="260"/>
      <c r="N5" s="260"/>
      <c r="O5" s="260"/>
      <c r="P5" s="260"/>
    </row>
    <row r="6" spans="1:17" ht="16" customHeight="1">
      <c r="A6" s="120" t="s">
        <v>0</v>
      </c>
      <c r="B6" s="122"/>
      <c r="C6" s="122"/>
      <c r="D6" s="122"/>
      <c r="E6" s="122"/>
      <c r="F6" s="122"/>
      <c r="G6" s="165"/>
      <c r="H6" s="126"/>
      <c r="I6" s="126"/>
      <c r="J6" s="166"/>
      <c r="K6" s="166"/>
      <c r="L6" s="166"/>
      <c r="M6" s="166"/>
      <c r="N6" s="166"/>
      <c r="O6" s="165"/>
      <c r="P6" s="165"/>
    </row>
    <row r="7" spans="1:17" ht="16" customHeight="1">
      <c r="A7" s="107" t="s">
        <v>1</v>
      </c>
      <c r="B7" s="108" t="s">
        <v>108</v>
      </c>
      <c r="C7" s="109">
        <f>IF(B7="Да, размещен ",4,0)</f>
        <v>4</v>
      </c>
      <c r="D7" s="110"/>
      <c r="E7" s="110"/>
      <c r="F7" s="167">
        <f>C7*(1-D7)*(1-E7)</f>
        <v>4</v>
      </c>
      <c r="G7" s="112" t="s">
        <v>186</v>
      </c>
      <c r="H7" s="113">
        <v>44918</v>
      </c>
      <c r="I7" s="113">
        <v>44924</v>
      </c>
      <c r="J7" s="114" t="s">
        <v>186</v>
      </c>
      <c r="K7" s="114" t="s">
        <v>186</v>
      </c>
      <c r="L7" s="114" t="s">
        <v>186</v>
      </c>
      <c r="M7" s="114" t="s">
        <v>186</v>
      </c>
      <c r="N7" s="115" t="s">
        <v>111</v>
      </c>
      <c r="O7" s="116" t="s">
        <v>499</v>
      </c>
      <c r="P7" s="116" t="s">
        <v>166</v>
      </c>
    </row>
    <row r="8" spans="1:17" ht="16" customHeight="1">
      <c r="A8" s="107" t="s">
        <v>2</v>
      </c>
      <c r="B8" s="108" t="s">
        <v>108</v>
      </c>
      <c r="C8" s="109">
        <f t="shared" ref="C8:C71" si="0">IF(B8="Да, размещен ",4,0)</f>
        <v>4</v>
      </c>
      <c r="D8" s="110"/>
      <c r="E8" s="110"/>
      <c r="F8" s="167">
        <f t="shared" ref="F8:F71" si="1">C8*(1-D8)*(1-E8)</f>
        <v>4</v>
      </c>
      <c r="G8" s="112" t="s">
        <v>186</v>
      </c>
      <c r="H8" s="113">
        <v>44907</v>
      </c>
      <c r="I8" s="113">
        <v>44908</v>
      </c>
      <c r="J8" s="114" t="s">
        <v>186</v>
      </c>
      <c r="K8" s="114" t="s">
        <v>186</v>
      </c>
      <c r="L8" s="114" t="s">
        <v>186</v>
      </c>
      <c r="M8" s="114" t="s">
        <v>186</v>
      </c>
      <c r="N8" s="115" t="s">
        <v>111</v>
      </c>
      <c r="O8" s="116" t="s">
        <v>534</v>
      </c>
      <c r="P8" s="168" t="s">
        <v>500</v>
      </c>
      <c r="Q8" s="70" t="s">
        <v>111</v>
      </c>
    </row>
    <row r="9" spans="1:17" ht="16" customHeight="1">
      <c r="A9" s="107" t="s">
        <v>3</v>
      </c>
      <c r="B9" s="108" t="s">
        <v>108</v>
      </c>
      <c r="C9" s="109">
        <f t="shared" si="0"/>
        <v>4</v>
      </c>
      <c r="D9" s="110"/>
      <c r="E9" s="110"/>
      <c r="F9" s="167">
        <f t="shared" si="1"/>
        <v>4</v>
      </c>
      <c r="G9" s="112" t="s">
        <v>186</v>
      </c>
      <c r="H9" s="113">
        <v>44921</v>
      </c>
      <c r="I9" s="113">
        <v>44922</v>
      </c>
      <c r="J9" s="114" t="s">
        <v>186</v>
      </c>
      <c r="K9" s="114" t="s">
        <v>186</v>
      </c>
      <c r="L9" s="114" t="s">
        <v>186</v>
      </c>
      <c r="M9" s="114" t="s">
        <v>186</v>
      </c>
      <c r="N9" s="115" t="s">
        <v>111</v>
      </c>
      <c r="O9" s="116" t="s">
        <v>123</v>
      </c>
      <c r="P9" s="116" t="s">
        <v>181</v>
      </c>
    </row>
    <row r="10" spans="1:17" ht="16" customHeight="1">
      <c r="A10" s="107" t="s">
        <v>4</v>
      </c>
      <c r="B10" s="108" t="s">
        <v>108</v>
      </c>
      <c r="C10" s="109">
        <f t="shared" si="0"/>
        <v>4</v>
      </c>
      <c r="D10" s="110"/>
      <c r="E10" s="110"/>
      <c r="F10" s="167">
        <f t="shared" si="1"/>
        <v>4</v>
      </c>
      <c r="G10" s="112" t="s">
        <v>186</v>
      </c>
      <c r="H10" s="113">
        <v>44914</v>
      </c>
      <c r="I10" s="113">
        <v>44917</v>
      </c>
      <c r="J10" s="114" t="s">
        <v>186</v>
      </c>
      <c r="K10" s="114" t="s">
        <v>186</v>
      </c>
      <c r="L10" s="114" t="s">
        <v>186</v>
      </c>
      <c r="M10" s="114" t="s">
        <v>186</v>
      </c>
      <c r="N10" s="115" t="s">
        <v>111</v>
      </c>
      <c r="O10" s="116" t="s">
        <v>294</v>
      </c>
      <c r="P10" s="116" t="s">
        <v>181</v>
      </c>
    </row>
    <row r="11" spans="1:17" ht="16" customHeight="1">
      <c r="A11" s="107" t="s">
        <v>5</v>
      </c>
      <c r="B11" s="108" t="s">
        <v>108</v>
      </c>
      <c r="C11" s="109">
        <f t="shared" si="0"/>
        <v>4</v>
      </c>
      <c r="D11" s="110"/>
      <c r="E11" s="110"/>
      <c r="F11" s="167">
        <f t="shared" si="1"/>
        <v>4</v>
      </c>
      <c r="G11" s="112" t="s">
        <v>186</v>
      </c>
      <c r="H11" s="113">
        <v>44914</v>
      </c>
      <c r="I11" s="113">
        <v>44921</v>
      </c>
      <c r="J11" s="114" t="s">
        <v>186</v>
      </c>
      <c r="K11" s="114" t="s">
        <v>186</v>
      </c>
      <c r="L11" s="114" t="s">
        <v>186</v>
      </c>
      <c r="M11" s="114" t="s">
        <v>186</v>
      </c>
      <c r="N11" s="115" t="s">
        <v>111</v>
      </c>
      <c r="O11" s="116" t="s">
        <v>501</v>
      </c>
      <c r="P11" s="116" t="s">
        <v>181</v>
      </c>
    </row>
    <row r="12" spans="1:17" ht="16" customHeight="1">
      <c r="A12" s="107" t="s">
        <v>6</v>
      </c>
      <c r="B12" s="108" t="s">
        <v>108</v>
      </c>
      <c r="C12" s="109">
        <f t="shared" si="0"/>
        <v>4</v>
      </c>
      <c r="D12" s="110"/>
      <c r="E12" s="110"/>
      <c r="F12" s="167">
        <f t="shared" si="1"/>
        <v>4</v>
      </c>
      <c r="G12" s="112" t="s">
        <v>186</v>
      </c>
      <c r="H12" s="113">
        <v>44896</v>
      </c>
      <c r="I12" s="113" t="s">
        <v>120</v>
      </c>
      <c r="J12" s="115" t="s">
        <v>186</v>
      </c>
      <c r="K12" s="115" t="s">
        <v>186</v>
      </c>
      <c r="L12" s="115" t="s">
        <v>186</v>
      </c>
      <c r="M12" s="115" t="s">
        <v>186</v>
      </c>
      <c r="N12" s="115" t="s">
        <v>535</v>
      </c>
      <c r="O12" s="116" t="s">
        <v>295</v>
      </c>
      <c r="P12" s="116" t="s">
        <v>181</v>
      </c>
    </row>
    <row r="13" spans="1:17" ht="16" customHeight="1">
      <c r="A13" s="107" t="s">
        <v>7</v>
      </c>
      <c r="B13" s="108" t="s">
        <v>109</v>
      </c>
      <c r="C13" s="109">
        <f t="shared" si="0"/>
        <v>0</v>
      </c>
      <c r="D13" s="110"/>
      <c r="E13" s="110"/>
      <c r="F13" s="167">
        <f t="shared" si="1"/>
        <v>0</v>
      </c>
      <c r="G13" s="112" t="s">
        <v>242</v>
      </c>
      <c r="H13" s="113">
        <v>44914</v>
      </c>
      <c r="I13" s="113">
        <v>44936</v>
      </c>
      <c r="J13" s="114" t="s">
        <v>186</v>
      </c>
      <c r="K13" s="114" t="s">
        <v>186</v>
      </c>
      <c r="L13" s="114" t="s">
        <v>186</v>
      </c>
      <c r="M13" s="114" t="s">
        <v>186</v>
      </c>
      <c r="N13" s="115" t="s">
        <v>297</v>
      </c>
      <c r="O13" s="116" t="s">
        <v>296</v>
      </c>
      <c r="P13" s="116" t="s">
        <v>168</v>
      </c>
    </row>
    <row r="14" spans="1:17" ht="16" customHeight="1">
      <c r="A14" s="107" t="s">
        <v>8</v>
      </c>
      <c r="B14" s="108" t="s">
        <v>108</v>
      </c>
      <c r="C14" s="109">
        <f t="shared" si="0"/>
        <v>4</v>
      </c>
      <c r="D14" s="110"/>
      <c r="E14" s="110"/>
      <c r="F14" s="167">
        <f t="shared" si="1"/>
        <v>4</v>
      </c>
      <c r="G14" s="112" t="s">
        <v>186</v>
      </c>
      <c r="H14" s="113">
        <v>44914</v>
      </c>
      <c r="I14" s="113">
        <v>44916</v>
      </c>
      <c r="J14" s="114" t="s">
        <v>186</v>
      </c>
      <c r="K14" s="114" t="s">
        <v>186</v>
      </c>
      <c r="L14" s="114" t="s">
        <v>186</v>
      </c>
      <c r="M14" s="114" t="s">
        <v>186</v>
      </c>
      <c r="N14" s="115" t="s">
        <v>111</v>
      </c>
      <c r="O14" s="116" t="s">
        <v>502</v>
      </c>
      <c r="P14" s="116" t="s">
        <v>181</v>
      </c>
    </row>
    <row r="15" spans="1:17" ht="16" customHeight="1">
      <c r="A15" s="107" t="s">
        <v>9</v>
      </c>
      <c r="B15" s="108" t="s">
        <v>108</v>
      </c>
      <c r="C15" s="109">
        <f t="shared" si="0"/>
        <v>4</v>
      </c>
      <c r="D15" s="110"/>
      <c r="E15" s="110"/>
      <c r="F15" s="167">
        <f t="shared" si="1"/>
        <v>4</v>
      </c>
      <c r="G15" s="112" t="s">
        <v>186</v>
      </c>
      <c r="H15" s="113">
        <v>44902</v>
      </c>
      <c r="I15" s="113">
        <v>44902</v>
      </c>
      <c r="J15" s="114" t="s">
        <v>186</v>
      </c>
      <c r="K15" s="114" t="s">
        <v>186</v>
      </c>
      <c r="L15" s="114" t="s">
        <v>186</v>
      </c>
      <c r="M15" s="114" t="s">
        <v>186</v>
      </c>
      <c r="N15" s="115" t="s">
        <v>111</v>
      </c>
      <c r="O15" s="116" t="s">
        <v>167</v>
      </c>
      <c r="P15" s="116" t="s">
        <v>181</v>
      </c>
    </row>
    <row r="16" spans="1:17" ht="16" customHeight="1">
      <c r="A16" s="107" t="s">
        <v>10</v>
      </c>
      <c r="B16" s="108" t="s">
        <v>108</v>
      </c>
      <c r="C16" s="109">
        <f t="shared" si="0"/>
        <v>4</v>
      </c>
      <c r="D16" s="110"/>
      <c r="E16" s="110"/>
      <c r="F16" s="167">
        <f t="shared" si="1"/>
        <v>4</v>
      </c>
      <c r="G16" s="112" t="s">
        <v>186</v>
      </c>
      <c r="H16" s="113">
        <v>44902</v>
      </c>
      <c r="I16" s="113">
        <v>44903</v>
      </c>
      <c r="J16" s="114" t="s">
        <v>186</v>
      </c>
      <c r="K16" s="114" t="s">
        <v>186</v>
      </c>
      <c r="L16" s="114" t="s">
        <v>186</v>
      </c>
      <c r="M16" s="114" t="s">
        <v>186</v>
      </c>
      <c r="N16" s="115" t="s">
        <v>111</v>
      </c>
      <c r="O16" s="116" t="s">
        <v>199</v>
      </c>
      <c r="P16" s="116" t="s">
        <v>124</v>
      </c>
      <c r="Q16" s="70" t="s">
        <v>111</v>
      </c>
    </row>
    <row r="17" spans="1:17" ht="16" customHeight="1">
      <c r="A17" s="107" t="s">
        <v>11</v>
      </c>
      <c r="B17" s="108" t="s">
        <v>108</v>
      </c>
      <c r="C17" s="109">
        <f t="shared" si="0"/>
        <v>4</v>
      </c>
      <c r="D17" s="110"/>
      <c r="E17" s="110"/>
      <c r="F17" s="167">
        <f t="shared" si="1"/>
        <v>4</v>
      </c>
      <c r="G17" s="112" t="s">
        <v>186</v>
      </c>
      <c r="H17" s="164">
        <v>44897</v>
      </c>
      <c r="I17" s="164">
        <v>44910</v>
      </c>
      <c r="J17" s="114" t="s">
        <v>186</v>
      </c>
      <c r="K17" s="114" t="s">
        <v>186</v>
      </c>
      <c r="L17" s="114" t="s">
        <v>186</v>
      </c>
      <c r="M17" s="114" t="s">
        <v>186</v>
      </c>
      <c r="N17" s="115" t="s">
        <v>111</v>
      </c>
      <c r="O17" s="116" t="s">
        <v>200</v>
      </c>
      <c r="P17" s="118" t="s">
        <v>241</v>
      </c>
      <c r="Q17" s="70" t="s">
        <v>111</v>
      </c>
    </row>
    <row r="18" spans="1:17" ht="16" customHeight="1">
      <c r="A18" s="107" t="s">
        <v>12</v>
      </c>
      <c r="B18" s="108" t="s">
        <v>108</v>
      </c>
      <c r="C18" s="109">
        <f t="shared" si="0"/>
        <v>4</v>
      </c>
      <c r="D18" s="110"/>
      <c r="E18" s="110"/>
      <c r="F18" s="167">
        <f t="shared" si="1"/>
        <v>4</v>
      </c>
      <c r="G18" s="112" t="s">
        <v>186</v>
      </c>
      <c r="H18" s="113">
        <v>44921</v>
      </c>
      <c r="I18" s="113">
        <v>44921</v>
      </c>
      <c r="J18" s="117" t="s">
        <v>186</v>
      </c>
      <c r="K18" s="117" t="s">
        <v>186</v>
      </c>
      <c r="L18" s="117" t="s">
        <v>186</v>
      </c>
      <c r="M18" s="117" t="s">
        <v>186</v>
      </c>
      <c r="N18" s="115" t="s">
        <v>111</v>
      </c>
      <c r="O18" s="116" t="s">
        <v>201</v>
      </c>
      <c r="P18" s="116" t="s">
        <v>166</v>
      </c>
    </row>
    <row r="19" spans="1:17" ht="16" customHeight="1">
      <c r="A19" s="107" t="s">
        <v>13</v>
      </c>
      <c r="B19" s="108" t="s">
        <v>108</v>
      </c>
      <c r="C19" s="109">
        <f t="shared" si="0"/>
        <v>4</v>
      </c>
      <c r="D19" s="110"/>
      <c r="E19" s="110">
        <v>0.5</v>
      </c>
      <c r="F19" s="167">
        <f t="shared" si="1"/>
        <v>2</v>
      </c>
      <c r="G19" s="112" t="s">
        <v>186</v>
      </c>
      <c r="H19" s="113">
        <v>44910</v>
      </c>
      <c r="I19" s="113" t="s">
        <v>120</v>
      </c>
      <c r="J19" s="117" t="s">
        <v>186</v>
      </c>
      <c r="K19" s="114" t="s">
        <v>186</v>
      </c>
      <c r="L19" s="114" t="s">
        <v>186</v>
      </c>
      <c r="M19" s="114" t="s">
        <v>160</v>
      </c>
      <c r="N19" s="115" t="s">
        <v>244</v>
      </c>
      <c r="O19" s="116" t="s">
        <v>298</v>
      </c>
      <c r="P19" s="116" t="s">
        <v>181</v>
      </c>
    </row>
    <row r="20" spans="1:17" ht="16" customHeight="1">
      <c r="A20" s="107" t="s">
        <v>14</v>
      </c>
      <c r="B20" s="108" t="s">
        <v>108</v>
      </c>
      <c r="C20" s="109">
        <f t="shared" si="0"/>
        <v>4</v>
      </c>
      <c r="D20" s="110"/>
      <c r="E20" s="110">
        <v>0.5</v>
      </c>
      <c r="F20" s="167">
        <f t="shared" si="1"/>
        <v>2</v>
      </c>
      <c r="G20" s="112" t="s">
        <v>186</v>
      </c>
      <c r="H20" s="113">
        <v>44918</v>
      </c>
      <c r="I20" s="113" t="s">
        <v>120</v>
      </c>
      <c r="J20" s="117" t="s">
        <v>186</v>
      </c>
      <c r="K20" s="114" t="s">
        <v>160</v>
      </c>
      <c r="L20" s="114" t="s">
        <v>111</v>
      </c>
      <c r="M20" s="114" t="s">
        <v>111</v>
      </c>
      <c r="N20" s="115" t="s">
        <v>243</v>
      </c>
      <c r="O20" s="116" t="s">
        <v>564</v>
      </c>
      <c r="P20" s="116" t="s">
        <v>181</v>
      </c>
    </row>
    <row r="21" spans="1:17" ht="16" customHeight="1">
      <c r="A21" s="107" t="s">
        <v>15</v>
      </c>
      <c r="B21" s="108" t="s">
        <v>108</v>
      </c>
      <c r="C21" s="109">
        <f t="shared" si="0"/>
        <v>4</v>
      </c>
      <c r="D21" s="110"/>
      <c r="E21" s="110"/>
      <c r="F21" s="167">
        <f t="shared" si="1"/>
        <v>4</v>
      </c>
      <c r="G21" s="112" t="s">
        <v>186</v>
      </c>
      <c r="H21" s="113">
        <v>44924</v>
      </c>
      <c r="I21" s="113">
        <v>44925</v>
      </c>
      <c r="J21" s="117" t="s">
        <v>186</v>
      </c>
      <c r="K21" s="117" t="s">
        <v>186</v>
      </c>
      <c r="L21" s="117" t="s">
        <v>186</v>
      </c>
      <c r="M21" s="117" t="s">
        <v>186</v>
      </c>
      <c r="N21" s="115" t="s">
        <v>111</v>
      </c>
      <c r="O21" s="116" t="s">
        <v>202</v>
      </c>
      <c r="P21" s="116" t="s">
        <v>503</v>
      </c>
      <c r="Q21" s="70" t="s">
        <v>111</v>
      </c>
    </row>
    <row r="22" spans="1:17" ht="16" customHeight="1">
      <c r="A22" s="107" t="s">
        <v>16</v>
      </c>
      <c r="B22" s="108" t="s">
        <v>108</v>
      </c>
      <c r="C22" s="109">
        <f t="shared" si="0"/>
        <v>4</v>
      </c>
      <c r="D22" s="110"/>
      <c r="E22" s="110"/>
      <c r="F22" s="167">
        <f t="shared" si="1"/>
        <v>4</v>
      </c>
      <c r="G22" s="112" t="s">
        <v>186</v>
      </c>
      <c r="H22" s="113">
        <v>44916</v>
      </c>
      <c r="I22" s="113">
        <v>44923</v>
      </c>
      <c r="J22" s="117" t="s">
        <v>186</v>
      </c>
      <c r="K22" s="117" t="s">
        <v>186</v>
      </c>
      <c r="L22" s="117" t="s">
        <v>186</v>
      </c>
      <c r="M22" s="117" t="s">
        <v>186</v>
      </c>
      <c r="N22" s="115" t="s">
        <v>535</v>
      </c>
      <c r="O22" s="116" t="s">
        <v>169</v>
      </c>
      <c r="P22" s="116" t="s">
        <v>166</v>
      </c>
    </row>
    <row r="23" spans="1:17" ht="16" customHeight="1">
      <c r="A23" s="107" t="s">
        <v>17</v>
      </c>
      <c r="B23" s="108" t="s">
        <v>108</v>
      </c>
      <c r="C23" s="109">
        <f t="shared" si="0"/>
        <v>4</v>
      </c>
      <c r="D23" s="110"/>
      <c r="E23" s="110"/>
      <c r="F23" s="167">
        <f t="shared" si="1"/>
        <v>4</v>
      </c>
      <c r="G23" s="112" t="s">
        <v>186</v>
      </c>
      <c r="H23" s="113">
        <v>44918</v>
      </c>
      <c r="I23" s="113">
        <v>44918</v>
      </c>
      <c r="J23" s="117" t="s">
        <v>186</v>
      </c>
      <c r="K23" s="117" t="s">
        <v>186</v>
      </c>
      <c r="L23" s="117" t="s">
        <v>186</v>
      </c>
      <c r="M23" s="117" t="s">
        <v>186</v>
      </c>
      <c r="N23" s="115" t="s">
        <v>111</v>
      </c>
      <c r="O23" s="119" t="s">
        <v>170</v>
      </c>
      <c r="P23" s="116" t="s">
        <v>166</v>
      </c>
    </row>
    <row r="24" spans="1:17" ht="16" customHeight="1">
      <c r="A24" s="107" t="s">
        <v>545</v>
      </c>
      <c r="B24" s="108" t="s">
        <v>108</v>
      </c>
      <c r="C24" s="109">
        <f t="shared" si="0"/>
        <v>4</v>
      </c>
      <c r="D24" s="110"/>
      <c r="E24" s="110"/>
      <c r="F24" s="167">
        <f t="shared" si="1"/>
        <v>4</v>
      </c>
      <c r="G24" s="112" t="s">
        <v>186</v>
      </c>
      <c r="H24" s="164">
        <v>44867</v>
      </c>
      <c r="I24" s="164">
        <v>44880</v>
      </c>
      <c r="J24" s="114" t="s">
        <v>186</v>
      </c>
      <c r="K24" s="114" t="s">
        <v>186</v>
      </c>
      <c r="L24" s="114" t="s">
        <v>186</v>
      </c>
      <c r="M24" s="114" t="s">
        <v>186</v>
      </c>
      <c r="N24" s="115" t="s">
        <v>111</v>
      </c>
      <c r="O24" s="116" t="s">
        <v>203</v>
      </c>
      <c r="P24" s="116" t="s">
        <v>209</v>
      </c>
    </row>
    <row r="25" spans="1:17" ht="16" customHeight="1">
      <c r="A25" s="120" t="s">
        <v>18</v>
      </c>
      <c r="B25" s="121"/>
      <c r="C25" s="122"/>
      <c r="D25" s="123"/>
      <c r="E25" s="124"/>
      <c r="F25" s="124"/>
      <c r="G25" s="124"/>
      <c r="H25" s="126"/>
      <c r="I25" s="126"/>
      <c r="J25" s="127"/>
      <c r="K25" s="127"/>
      <c r="L25" s="128"/>
      <c r="M25" s="128"/>
      <c r="N25" s="128"/>
      <c r="O25" s="129"/>
      <c r="P25" s="129"/>
    </row>
    <row r="26" spans="1:17" ht="16" customHeight="1">
      <c r="A26" s="107" t="s">
        <v>19</v>
      </c>
      <c r="B26" s="108" t="s">
        <v>108</v>
      </c>
      <c r="C26" s="109">
        <f t="shared" si="0"/>
        <v>4</v>
      </c>
      <c r="D26" s="110"/>
      <c r="E26" s="110"/>
      <c r="F26" s="167">
        <f t="shared" si="1"/>
        <v>4</v>
      </c>
      <c r="G26" s="112" t="s">
        <v>186</v>
      </c>
      <c r="H26" s="113">
        <v>44916</v>
      </c>
      <c r="I26" s="113" t="s">
        <v>120</v>
      </c>
      <c r="J26" s="114" t="s">
        <v>186</v>
      </c>
      <c r="K26" s="114" t="s">
        <v>186</v>
      </c>
      <c r="L26" s="114" t="s">
        <v>186</v>
      </c>
      <c r="M26" s="114" t="s">
        <v>186</v>
      </c>
      <c r="N26" s="115" t="s">
        <v>111</v>
      </c>
      <c r="O26" s="116" t="s">
        <v>504</v>
      </c>
      <c r="P26" s="116" t="s">
        <v>166</v>
      </c>
    </row>
    <row r="27" spans="1:17" ht="16" customHeight="1">
      <c r="A27" s="107" t="s">
        <v>20</v>
      </c>
      <c r="B27" s="108" t="s">
        <v>108</v>
      </c>
      <c r="C27" s="109">
        <f t="shared" si="0"/>
        <v>4</v>
      </c>
      <c r="D27" s="110"/>
      <c r="E27" s="110"/>
      <c r="F27" s="167">
        <f t="shared" si="1"/>
        <v>4</v>
      </c>
      <c r="G27" s="112" t="s">
        <v>186</v>
      </c>
      <c r="H27" s="113">
        <v>44900</v>
      </c>
      <c r="I27" s="113">
        <v>44902</v>
      </c>
      <c r="J27" s="114" t="s">
        <v>186</v>
      </c>
      <c r="K27" s="114" t="s">
        <v>186</v>
      </c>
      <c r="L27" s="114" t="s">
        <v>186</v>
      </c>
      <c r="M27" s="114" t="s">
        <v>186</v>
      </c>
      <c r="N27" s="115" t="s">
        <v>111</v>
      </c>
      <c r="O27" s="116" t="s">
        <v>299</v>
      </c>
      <c r="P27" s="116" t="s">
        <v>181</v>
      </c>
    </row>
    <row r="28" spans="1:17" ht="16" customHeight="1">
      <c r="A28" s="107" t="s">
        <v>21</v>
      </c>
      <c r="B28" s="108" t="s">
        <v>108</v>
      </c>
      <c r="C28" s="109">
        <f t="shared" si="0"/>
        <v>4</v>
      </c>
      <c r="D28" s="110"/>
      <c r="E28" s="110"/>
      <c r="F28" s="167">
        <f t="shared" si="1"/>
        <v>4</v>
      </c>
      <c r="G28" s="112" t="s">
        <v>186</v>
      </c>
      <c r="H28" s="113">
        <v>44915</v>
      </c>
      <c r="I28" s="113">
        <v>44916</v>
      </c>
      <c r="J28" s="114" t="s">
        <v>186</v>
      </c>
      <c r="K28" s="114" t="s">
        <v>186</v>
      </c>
      <c r="L28" s="114" t="s">
        <v>186</v>
      </c>
      <c r="M28" s="114" t="s">
        <v>186</v>
      </c>
      <c r="N28" s="115" t="s">
        <v>111</v>
      </c>
      <c r="O28" s="119" t="s">
        <v>139</v>
      </c>
      <c r="P28" s="116" t="s">
        <v>181</v>
      </c>
    </row>
    <row r="29" spans="1:17" ht="16" customHeight="1">
      <c r="A29" s="107" t="s">
        <v>22</v>
      </c>
      <c r="B29" s="108" t="s">
        <v>108</v>
      </c>
      <c r="C29" s="109">
        <f t="shared" si="0"/>
        <v>4</v>
      </c>
      <c r="D29" s="110"/>
      <c r="E29" s="110"/>
      <c r="F29" s="167">
        <f t="shared" si="1"/>
        <v>4</v>
      </c>
      <c r="G29" s="112" t="s">
        <v>186</v>
      </c>
      <c r="H29" s="113">
        <v>44908</v>
      </c>
      <c r="I29" s="113">
        <v>44914</v>
      </c>
      <c r="J29" s="114" t="s">
        <v>186</v>
      </c>
      <c r="K29" s="114" t="s">
        <v>186</v>
      </c>
      <c r="L29" s="114" t="s">
        <v>186</v>
      </c>
      <c r="M29" s="114" t="s">
        <v>186</v>
      </c>
      <c r="N29" s="115" t="s">
        <v>111</v>
      </c>
      <c r="O29" s="119" t="s">
        <v>300</v>
      </c>
      <c r="P29" s="116" t="s">
        <v>181</v>
      </c>
    </row>
    <row r="30" spans="1:17" ht="16" customHeight="1">
      <c r="A30" s="107" t="s">
        <v>23</v>
      </c>
      <c r="B30" s="108" t="s">
        <v>108</v>
      </c>
      <c r="C30" s="109">
        <f t="shared" si="0"/>
        <v>4</v>
      </c>
      <c r="D30" s="110"/>
      <c r="E30" s="110"/>
      <c r="F30" s="167">
        <f t="shared" si="1"/>
        <v>4</v>
      </c>
      <c r="G30" s="112" t="s">
        <v>186</v>
      </c>
      <c r="H30" s="113">
        <v>44917</v>
      </c>
      <c r="I30" s="113">
        <v>44917</v>
      </c>
      <c r="J30" s="114" t="s">
        <v>186</v>
      </c>
      <c r="K30" s="114" t="s">
        <v>186</v>
      </c>
      <c r="L30" s="114" t="s">
        <v>186</v>
      </c>
      <c r="M30" s="114" t="s">
        <v>186</v>
      </c>
      <c r="N30" s="115" t="s">
        <v>111</v>
      </c>
      <c r="O30" s="118" t="s">
        <v>140</v>
      </c>
      <c r="P30" s="116" t="s">
        <v>181</v>
      </c>
    </row>
    <row r="31" spans="1:17" ht="16" customHeight="1">
      <c r="A31" s="107" t="s">
        <v>24</v>
      </c>
      <c r="B31" s="108" t="s">
        <v>108</v>
      </c>
      <c r="C31" s="109">
        <f t="shared" si="0"/>
        <v>4</v>
      </c>
      <c r="D31" s="110"/>
      <c r="E31" s="110"/>
      <c r="F31" s="167">
        <f t="shared" si="1"/>
        <v>4</v>
      </c>
      <c r="G31" s="112" t="s">
        <v>186</v>
      </c>
      <c r="H31" s="113">
        <v>44914</v>
      </c>
      <c r="I31" s="113">
        <v>44918</v>
      </c>
      <c r="J31" s="114" t="s">
        <v>186</v>
      </c>
      <c r="K31" s="114" t="s">
        <v>186</v>
      </c>
      <c r="L31" s="114" t="s">
        <v>186</v>
      </c>
      <c r="M31" s="114" t="s">
        <v>186</v>
      </c>
      <c r="N31" s="115" t="s">
        <v>111</v>
      </c>
      <c r="O31" s="119" t="s">
        <v>505</v>
      </c>
      <c r="P31" s="116" t="s">
        <v>166</v>
      </c>
    </row>
    <row r="32" spans="1:17" ht="16" customHeight="1">
      <c r="A32" s="107" t="s">
        <v>25</v>
      </c>
      <c r="B32" s="108" t="s">
        <v>108</v>
      </c>
      <c r="C32" s="109">
        <f t="shared" si="0"/>
        <v>4</v>
      </c>
      <c r="D32" s="110"/>
      <c r="E32" s="110"/>
      <c r="F32" s="167">
        <f t="shared" si="1"/>
        <v>4</v>
      </c>
      <c r="G32" s="112" t="s">
        <v>186</v>
      </c>
      <c r="H32" s="113">
        <v>44915</v>
      </c>
      <c r="I32" s="113">
        <v>44915</v>
      </c>
      <c r="J32" s="114" t="s">
        <v>186</v>
      </c>
      <c r="K32" s="114" t="s">
        <v>186</v>
      </c>
      <c r="L32" s="114" t="s">
        <v>186</v>
      </c>
      <c r="M32" s="114" t="s">
        <v>186</v>
      </c>
      <c r="N32" s="115" t="s">
        <v>111</v>
      </c>
      <c r="O32" s="118" t="s">
        <v>171</v>
      </c>
      <c r="P32" s="116" t="s">
        <v>166</v>
      </c>
    </row>
    <row r="33" spans="1:17" ht="16" customHeight="1">
      <c r="A33" s="107" t="s">
        <v>26</v>
      </c>
      <c r="B33" s="108" t="s">
        <v>108</v>
      </c>
      <c r="C33" s="109">
        <f t="shared" si="0"/>
        <v>4</v>
      </c>
      <c r="D33" s="110"/>
      <c r="E33" s="110"/>
      <c r="F33" s="167">
        <f>C33*(1-D33)*(1-E33)</f>
        <v>4</v>
      </c>
      <c r="G33" s="112" t="s">
        <v>186</v>
      </c>
      <c r="H33" s="113">
        <v>44917</v>
      </c>
      <c r="I33" s="113">
        <v>44921</v>
      </c>
      <c r="J33" s="114" t="s">
        <v>186</v>
      </c>
      <c r="K33" s="114" t="s">
        <v>186</v>
      </c>
      <c r="L33" s="114" t="s">
        <v>186</v>
      </c>
      <c r="M33" s="114" t="s">
        <v>186</v>
      </c>
      <c r="N33" s="115" t="s">
        <v>111</v>
      </c>
      <c r="O33" s="118" t="s">
        <v>506</v>
      </c>
      <c r="P33" s="116" t="s">
        <v>166</v>
      </c>
    </row>
    <row r="34" spans="1:17" ht="16" customHeight="1">
      <c r="A34" s="107" t="s">
        <v>27</v>
      </c>
      <c r="B34" s="108" t="s">
        <v>108</v>
      </c>
      <c r="C34" s="109">
        <f t="shared" si="0"/>
        <v>4</v>
      </c>
      <c r="D34" s="110">
        <v>0.5</v>
      </c>
      <c r="E34" s="110">
        <v>0.5</v>
      </c>
      <c r="F34" s="111">
        <f t="shared" si="1"/>
        <v>1</v>
      </c>
      <c r="G34" s="112" t="s">
        <v>186</v>
      </c>
      <c r="H34" s="113">
        <v>44924</v>
      </c>
      <c r="I34" s="130" t="s">
        <v>111</v>
      </c>
      <c r="J34" s="117" t="s">
        <v>186</v>
      </c>
      <c r="K34" s="117" t="s">
        <v>186</v>
      </c>
      <c r="L34" s="117" t="s">
        <v>111</v>
      </c>
      <c r="M34" s="117" t="s">
        <v>111</v>
      </c>
      <c r="N34" s="115" t="s">
        <v>537</v>
      </c>
      <c r="O34" s="118" t="s">
        <v>536</v>
      </c>
      <c r="P34" s="118" t="s">
        <v>204</v>
      </c>
      <c r="Q34" s="70" t="s">
        <v>111</v>
      </c>
    </row>
    <row r="35" spans="1:17" ht="16" customHeight="1">
      <c r="A35" s="107" t="s">
        <v>546</v>
      </c>
      <c r="B35" s="108" t="s">
        <v>108</v>
      </c>
      <c r="C35" s="109">
        <f t="shared" si="0"/>
        <v>4</v>
      </c>
      <c r="D35" s="110"/>
      <c r="E35" s="110"/>
      <c r="F35" s="111">
        <f t="shared" si="1"/>
        <v>4</v>
      </c>
      <c r="G35" s="112" t="s">
        <v>186</v>
      </c>
      <c r="H35" s="113">
        <v>44888</v>
      </c>
      <c r="I35" s="113">
        <v>44895</v>
      </c>
      <c r="J35" s="114" t="s">
        <v>186</v>
      </c>
      <c r="K35" s="114" t="s">
        <v>186</v>
      </c>
      <c r="L35" s="114" t="s">
        <v>186</v>
      </c>
      <c r="M35" s="114" t="s">
        <v>186</v>
      </c>
      <c r="N35" s="115" t="s">
        <v>111</v>
      </c>
      <c r="O35" s="118" t="s">
        <v>179</v>
      </c>
      <c r="P35" s="116" t="s">
        <v>166</v>
      </c>
    </row>
    <row r="36" spans="1:17" ht="16" customHeight="1">
      <c r="A36" s="107" t="s">
        <v>28</v>
      </c>
      <c r="B36" s="108" t="s">
        <v>108</v>
      </c>
      <c r="C36" s="109">
        <f t="shared" si="0"/>
        <v>4</v>
      </c>
      <c r="D36" s="110"/>
      <c r="E36" s="110"/>
      <c r="F36" s="111">
        <f t="shared" si="1"/>
        <v>4</v>
      </c>
      <c r="G36" s="112" t="s">
        <v>186</v>
      </c>
      <c r="H36" s="113">
        <v>44917</v>
      </c>
      <c r="I36" s="113" t="s">
        <v>120</v>
      </c>
      <c r="J36" s="114" t="s">
        <v>186</v>
      </c>
      <c r="K36" s="114" t="s">
        <v>186</v>
      </c>
      <c r="L36" s="114" t="s">
        <v>186</v>
      </c>
      <c r="M36" s="114" t="s">
        <v>186</v>
      </c>
      <c r="N36" s="115" t="s">
        <v>111</v>
      </c>
      <c r="O36" s="119" t="s">
        <v>125</v>
      </c>
      <c r="P36" s="116" t="s">
        <v>181</v>
      </c>
    </row>
    <row r="37" spans="1:17" ht="16" customHeight="1">
      <c r="A37" s="120" t="s">
        <v>29</v>
      </c>
      <c r="B37" s="121"/>
      <c r="C37" s="122"/>
      <c r="D37" s="123"/>
      <c r="E37" s="124"/>
      <c r="F37" s="125"/>
      <c r="G37" s="125"/>
      <c r="H37" s="126"/>
      <c r="I37" s="126"/>
      <c r="J37" s="128"/>
      <c r="K37" s="128"/>
      <c r="L37" s="128"/>
      <c r="M37" s="128"/>
      <c r="N37" s="128"/>
      <c r="O37" s="129"/>
      <c r="P37" s="129"/>
    </row>
    <row r="38" spans="1:17" ht="16" customHeight="1">
      <c r="A38" s="107" t="s">
        <v>30</v>
      </c>
      <c r="B38" s="108" t="s">
        <v>108</v>
      </c>
      <c r="C38" s="109">
        <f t="shared" si="0"/>
        <v>4</v>
      </c>
      <c r="D38" s="110"/>
      <c r="E38" s="110"/>
      <c r="F38" s="111">
        <f t="shared" si="1"/>
        <v>4</v>
      </c>
      <c r="G38" s="112" t="s">
        <v>186</v>
      </c>
      <c r="H38" s="113">
        <v>44907</v>
      </c>
      <c r="I38" s="113">
        <v>44907</v>
      </c>
      <c r="J38" s="131" t="s">
        <v>186</v>
      </c>
      <c r="K38" s="114" t="s">
        <v>186</v>
      </c>
      <c r="L38" s="114" t="s">
        <v>186</v>
      </c>
      <c r="M38" s="114" t="s">
        <v>186</v>
      </c>
      <c r="N38" s="115" t="s">
        <v>111</v>
      </c>
      <c r="O38" s="119" t="s">
        <v>301</v>
      </c>
      <c r="P38" s="116" t="s">
        <v>181</v>
      </c>
    </row>
    <row r="39" spans="1:17" ht="16" customHeight="1">
      <c r="A39" s="107" t="s">
        <v>31</v>
      </c>
      <c r="B39" s="108" t="s">
        <v>108</v>
      </c>
      <c r="C39" s="109">
        <f t="shared" si="0"/>
        <v>4</v>
      </c>
      <c r="D39" s="110"/>
      <c r="E39" s="110"/>
      <c r="F39" s="111">
        <f t="shared" si="1"/>
        <v>4</v>
      </c>
      <c r="G39" s="112" t="s">
        <v>186</v>
      </c>
      <c r="H39" s="113">
        <v>44910</v>
      </c>
      <c r="I39" s="113" t="s">
        <v>120</v>
      </c>
      <c r="J39" s="114" t="s">
        <v>186</v>
      </c>
      <c r="K39" s="114" t="s">
        <v>186</v>
      </c>
      <c r="L39" s="114" t="s">
        <v>186</v>
      </c>
      <c r="M39" s="114" t="s">
        <v>186</v>
      </c>
      <c r="N39" s="115" t="s">
        <v>111</v>
      </c>
      <c r="O39" s="119" t="s">
        <v>126</v>
      </c>
      <c r="P39" s="116" t="s">
        <v>181</v>
      </c>
    </row>
    <row r="40" spans="1:17" ht="16" customHeight="1">
      <c r="A40" s="107" t="s">
        <v>87</v>
      </c>
      <c r="B40" s="108" t="s">
        <v>108</v>
      </c>
      <c r="C40" s="109">
        <f t="shared" si="0"/>
        <v>4</v>
      </c>
      <c r="D40" s="110"/>
      <c r="E40" s="110"/>
      <c r="F40" s="111">
        <f t="shared" si="1"/>
        <v>4</v>
      </c>
      <c r="G40" s="112" t="s">
        <v>186</v>
      </c>
      <c r="H40" s="113">
        <v>44910</v>
      </c>
      <c r="I40" s="113">
        <v>44911</v>
      </c>
      <c r="J40" s="114" t="s">
        <v>186</v>
      </c>
      <c r="K40" s="114" t="s">
        <v>186</v>
      </c>
      <c r="L40" s="114" t="s">
        <v>186</v>
      </c>
      <c r="M40" s="114" t="s">
        <v>186</v>
      </c>
      <c r="N40" s="115" t="s">
        <v>111</v>
      </c>
      <c r="O40" s="118" t="s">
        <v>302</v>
      </c>
      <c r="P40" s="116" t="s">
        <v>166</v>
      </c>
      <c r="Q40" s="70" t="s">
        <v>111</v>
      </c>
    </row>
    <row r="41" spans="1:17" ht="16" customHeight="1">
      <c r="A41" s="107" t="s">
        <v>32</v>
      </c>
      <c r="B41" s="108" t="s">
        <v>108</v>
      </c>
      <c r="C41" s="109">
        <f t="shared" si="0"/>
        <v>4</v>
      </c>
      <c r="D41" s="110"/>
      <c r="E41" s="110"/>
      <c r="F41" s="111">
        <f t="shared" si="1"/>
        <v>4</v>
      </c>
      <c r="G41" s="112" t="s">
        <v>186</v>
      </c>
      <c r="H41" s="113">
        <v>44918</v>
      </c>
      <c r="I41" s="113">
        <v>44921</v>
      </c>
      <c r="J41" s="114" t="s">
        <v>186</v>
      </c>
      <c r="K41" s="114" t="s">
        <v>186</v>
      </c>
      <c r="L41" s="114" t="s">
        <v>186</v>
      </c>
      <c r="M41" s="114" t="s">
        <v>186</v>
      </c>
      <c r="N41" s="115" t="s">
        <v>111</v>
      </c>
      <c r="O41" s="118" t="s">
        <v>508</v>
      </c>
      <c r="P41" s="116" t="s">
        <v>166</v>
      </c>
    </row>
    <row r="42" spans="1:17" ht="16" customHeight="1">
      <c r="A42" s="107" t="s">
        <v>33</v>
      </c>
      <c r="B42" s="108" t="s">
        <v>108</v>
      </c>
      <c r="C42" s="109">
        <f t="shared" si="0"/>
        <v>4</v>
      </c>
      <c r="D42" s="110"/>
      <c r="E42" s="110"/>
      <c r="F42" s="111">
        <f t="shared" si="1"/>
        <v>4</v>
      </c>
      <c r="G42" s="112" t="s">
        <v>186</v>
      </c>
      <c r="H42" s="113">
        <v>44910</v>
      </c>
      <c r="I42" s="130">
        <v>44911</v>
      </c>
      <c r="J42" s="117" t="s">
        <v>186</v>
      </c>
      <c r="K42" s="117" t="s">
        <v>186</v>
      </c>
      <c r="L42" s="114" t="s">
        <v>186</v>
      </c>
      <c r="M42" s="114" t="s">
        <v>186</v>
      </c>
      <c r="N42" s="115" t="s">
        <v>111</v>
      </c>
      <c r="O42" s="118" t="s">
        <v>303</v>
      </c>
      <c r="P42" s="116" t="s">
        <v>181</v>
      </c>
    </row>
    <row r="43" spans="1:17" ht="16" customHeight="1">
      <c r="A43" s="107" t="s">
        <v>34</v>
      </c>
      <c r="B43" s="108" t="s">
        <v>108</v>
      </c>
      <c r="C43" s="109">
        <f>IF(B43="Да, размещен ",4,0)</f>
        <v>4</v>
      </c>
      <c r="D43" s="110"/>
      <c r="E43" s="110"/>
      <c r="F43" s="111">
        <f t="shared" si="1"/>
        <v>4</v>
      </c>
      <c r="G43" s="112" t="s">
        <v>186</v>
      </c>
      <c r="H43" s="113">
        <v>44900</v>
      </c>
      <c r="I43" s="130">
        <v>44910</v>
      </c>
      <c r="J43" s="114" t="s">
        <v>186</v>
      </c>
      <c r="K43" s="114" t="s">
        <v>186</v>
      </c>
      <c r="L43" s="114" t="s">
        <v>186</v>
      </c>
      <c r="M43" s="114" t="s">
        <v>186</v>
      </c>
      <c r="N43" s="115" t="s">
        <v>539</v>
      </c>
      <c r="O43" s="118" t="s">
        <v>304</v>
      </c>
      <c r="P43" s="116" t="s">
        <v>538</v>
      </c>
      <c r="Q43" s="70" t="s">
        <v>111</v>
      </c>
    </row>
    <row r="44" spans="1:17" ht="16" customHeight="1">
      <c r="A44" s="107" t="s">
        <v>35</v>
      </c>
      <c r="B44" s="108" t="s">
        <v>108</v>
      </c>
      <c r="C44" s="109">
        <f>IF(B44="Да, размещен ",4,0)</f>
        <v>4</v>
      </c>
      <c r="D44" s="110"/>
      <c r="E44" s="110"/>
      <c r="F44" s="111">
        <f t="shared" si="1"/>
        <v>4</v>
      </c>
      <c r="G44" s="112" t="s">
        <v>186</v>
      </c>
      <c r="H44" s="113">
        <v>44911</v>
      </c>
      <c r="I44" s="113">
        <v>44911</v>
      </c>
      <c r="J44" s="114" t="s">
        <v>186</v>
      </c>
      <c r="K44" s="114" t="s">
        <v>186</v>
      </c>
      <c r="L44" s="114" t="s">
        <v>186</v>
      </c>
      <c r="M44" s="114" t="s">
        <v>186</v>
      </c>
      <c r="N44" s="115" t="s">
        <v>111</v>
      </c>
      <c r="O44" s="119" t="s">
        <v>305</v>
      </c>
      <c r="P44" s="116" t="s">
        <v>166</v>
      </c>
    </row>
    <row r="45" spans="1:17" ht="16" customHeight="1">
      <c r="A45" s="107" t="s">
        <v>222</v>
      </c>
      <c r="B45" s="108" t="s">
        <v>108</v>
      </c>
      <c r="C45" s="109">
        <f t="shared" si="0"/>
        <v>4</v>
      </c>
      <c r="D45" s="110"/>
      <c r="E45" s="110"/>
      <c r="F45" s="111">
        <f t="shared" si="1"/>
        <v>4</v>
      </c>
      <c r="G45" s="112" t="s">
        <v>186</v>
      </c>
      <c r="H45" s="164">
        <v>44915</v>
      </c>
      <c r="I45" s="164">
        <v>44935</v>
      </c>
      <c r="J45" s="114" t="s">
        <v>186</v>
      </c>
      <c r="K45" s="114" t="s">
        <v>186</v>
      </c>
      <c r="L45" s="114" t="s">
        <v>186</v>
      </c>
      <c r="M45" s="114" t="s">
        <v>186</v>
      </c>
      <c r="N45" s="115" t="s">
        <v>111</v>
      </c>
      <c r="O45" s="119" t="s">
        <v>509</v>
      </c>
      <c r="P45" s="119" t="s">
        <v>306</v>
      </c>
      <c r="Q45" s="70" t="s">
        <v>111</v>
      </c>
    </row>
    <row r="46" spans="1:17" ht="16" customHeight="1">
      <c r="A46" s="120" t="s">
        <v>36</v>
      </c>
      <c r="B46" s="121"/>
      <c r="C46" s="122"/>
      <c r="D46" s="123"/>
      <c r="E46" s="124"/>
      <c r="F46" s="125"/>
      <c r="G46" s="125"/>
      <c r="H46" s="126"/>
      <c r="I46" s="126"/>
      <c r="J46" s="127"/>
      <c r="K46" s="128"/>
      <c r="L46" s="128"/>
      <c r="M46" s="128"/>
      <c r="N46" s="128"/>
      <c r="O46" s="129"/>
      <c r="P46" s="129"/>
    </row>
    <row r="47" spans="1:17" ht="16" customHeight="1">
      <c r="A47" s="107" t="s">
        <v>37</v>
      </c>
      <c r="B47" s="108" t="s">
        <v>108</v>
      </c>
      <c r="C47" s="109">
        <f t="shared" si="0"/>
        <v>4</v>
      </c>
      <c r="D47" s="110"/>
      <c r="E47" s="110">
        <v>0.5</v>
      </c>
      <c r="F47" s="111">
        <f t="shared" si="1"/>
        <v>2</v>
      </c>
      <c r="G47" s="112" t="s">
        <v>186</v>
      </c>
      <c r="H47" s="113">
        <v>44907</v>
      </c>
      <c r="I47" s="113" t="s">
        <v>120</v>
      </c>
      <c r="J47" s="114" t="s">
        <v>186</v>
      </c>
      <c r="K47" s="114" t="s">
        <v>160</v>
      </c>
      <c r="L47" s="114" t="s">
        <v>111</v>
      </c>
      <c r="M47" s="114" t="s">
        <v>111</v>
      </c>
      <c r="N47" s="115" t="s">
        <v>243</v>
      </c>
      <c r="O47" s="118" t="s">
        <v>161</v>
      </c>
      <c r="P47" s="118" t="s">
        <v>540</v>
      </c>
      <c r="Q47" s="70" t="s">
        <v>111</v>
      </c>
    </row>
    <row r="48" spans="1:17" ht="16" customHeight="1">
      <c r="A48" s="107" t="s">
        <v>38</v>
      </c>
      <c r="B48" s="108" t="s">
        <v>109</v>
      </c>
      <c r="C48" s="109">
        <f>IF(B48="Да, размещен ",4,0)</f>
        <v>0</v>
      </c>
      <c r="D48" s="110"/>
      <c r="E48" s="110"/>
      <c r="F48" s="111">
        <f t="shared" si="1"/>
        <v>0</v>
      </c>
      <c r="G48" s="112" t="s">
        <v>507</v>
      </c>
      <c r="H48" s="113">
        <v>44922</v>
      </c>
      <c r="I48" s="113" t="s">
        <v>111</v>
      </c>
      <c r="J48" s="170" t="s">
        <v>111</v>
      </c>
      <c r="K48" s="170" t="s">
        <v>111</v>
      </c>
      <c r="L48" s="170" t="s">
        <v>111</v>
      </c>
      <c r="M48" s="170" t="s">
        <v>111</v>
      </c>
      <c r="N48" s="115" t="s">
        <v>510</v>
      </c>
      <c r="O48" s="118" t="s">
        <v>511</v>
      </c>
      <c r="P48" s="116" t="s">
        <v>181</v>
      </c>
    </row>
    <row r="49" spans="1:17" ht="16" customHeight="1">
      <c r="A49" s="107" t="s">
        <v>39</v>
      </c>
      <c r="B49" s="108" t="s">
        <v>108</v>
      </c>
      <c r="C49" s="109">
        <f t="shared" si="0"/>
        <v>4</v>
      </c>
      <c r="D49" s="110"/>
      <c r="E49" s="110"/>
      <c r="F49" s="111">
        <f t="shared" si="1"/>
        <v>4</v>
      </c>
      <c r="G49" s="112" t="s">
        <v>186</v>
      </c>
      <c r="H49" s="113">
        <v>44924</v>
      </c>
      <c r="I49" s="113" t="s">
        <v>120</v>
      </c>
      <c r="J49" s="114" t="s">
        <v>186</v>
      </c>
      <c r="K49" s="114" t="s">
        <v>186</v>
      </c>
      <c r="L49" s="114" t="s">
        <v>186</v>
      </c>
      <c r="M49" s="114" t="s">
        <v>186</v>
      </c>
      <c r="N49" s="115" t="s">
        <v>111</v>
      </c>
      <c r="O49" s="118" t="s">
        <v>210</v>
      </c>
      <c r="P49" s="116" t="s">
        <v>181</v>
      </c>
    </row>
    <row r="50" spans="1:17" ht="16" customHeight="1">
      <c r="A50" s="107" t="s">
        <v>40</v>
      </c>
      <c r="B50" s="108" t="s">
        <v>108</v>
      </c>
      <c r="C50" s="109">
        <f t="shared" si="0"/>
        <v>4</v>
      </c>
      <c r="D50" s="110"/>
      <c r="E50" s="110"/>
      <c r="F50" s="111">
        <f t="shared" si="1"/>
        <v>4</v>
      </c>
      <c r="G50" s="112" t="s">
        <v>186</v>
      </c>
      <c r="H50" s="113">
        <v>44924</v>
      </c>
      <c r="I50" s="130">
        <v>44925</v>
      </c>
      <c r="J50" s="114" t="s">
        <v>186</v>
      </c>
      <c r="K50" s="114" t="s">
        <v>186</v>
      </c>
      <c r="L50" s="114" t="s">
        <v>186</v>
      </c>
      <c r="M50" s="114" t="s">
        <v>186</v>
      </c>
      <c r="N50" s="115" t="s">
        <v>111</v>
      </c>
      <c r="O50" s="118" t="s">
        <v>512</v>
      </c>
      <c r="P50" s="116" t="s">
        <v>181</v>
      </c>
    </row>
    <row r="51" spans="1:17" ht="16" customHeight="1">
      <c r="A51" s="107" t="s">
        <v>547</v>
      </c>
      <c r="B51" s="108" t="s">
        <v>108</v>
      </c>
      <c r="C51" s="109">
        <f t="shared" si="0"/>
        <v>4</v>
      </c>
      <c r="D51" s="110"/>
      <c r="E51" s="110"/>
      <c r="F51" s="111">
        <f t="shared" si="1"/>
        <v>4</v>
      </c>
      <c r="G51" s="112" t="s">
        <v>186</v>
      </c>
      <c r="H51" s="113">
        <v>44921</v>
      </c>
      <c r="I51" s="113">
        <v>44937</v>
      </c>
      <c r="J51" s="114" t="s">
        <v>186</v>
      </c>
      <c r="K51" s="114" t="s">
        <v>186</v>
      </c>
      <c r="L51" s="114" t="s">
        <v>186</v>
      </c>
      <c r="M51" s="114" t="s">
        <v>186</v>
      </c>
      <c r="N51" s="115" t="s">
        <v>111</v>
      </c>
      <c r="O51" s="118" t="s">
        <v>307</v>
      </c>
      <c r="P51" s="116" t="s">
        <v>181</v>
      </c>
    </row>
    <row r="52" spans="1:17" ht="16" customHeight="1">
      <c r="A52" s="107" t="s">
        <v>41</v>
      </c>
      <c r="B52" s="108" t="s">
        <v>109</v>
      </c>
      <c r="C52" s="109">
        <f t="shared" si="0"/>
        <v>0</v>
      </c>
      <c r="D52" s="110"/>
      <c r="E52" s="110"/>
      <c r="F52" s="111">
        <f t="shared" si="1"/>
        <v>0</v>
      </c>
      <c r="G52" s="112" t="s">
        <v>513</v>
      </c>
      <c r="H52" s="113">
        <v>44922</v>
      </c>
      <c r="I52" s="113" t="s">
        <v>111</v>
      </c>
      <c r="J52" s="171" t="s">
        <v>111</v>
      </c>
      <c r="K52" s="171" t="s">
        <v>111</v>
      </c>
      <c r="L52" s="171" t="s">
        <v>111</v>
      </c>
      <c r="M52" s="171" t="s">
        <v>111</v>
      </c>
      <c r="N52" s="115" t="s">
        <v>510</v>
      </c>
      <c r="O52" s="118" t="s">
        <v>514</v>
      </c>
      <c r="P52" s="118" t="s">
        <v>515</v>
      </c>
      <c r="Q52" s="70" t="s">
        <v>111</v>
      </c>
    </row>
    <row r="53" spans="1:17" ht="16" customHeight="1">
      <c r="A53" s="107" t="s">
        <v>42</v>
      </c>
      <c r="B53" s="108" t="s">
        <v>108</v>
      </c>
      <c r="C53" s="109">
        <f t="shared" si="0"/>
        <v>4</v>
      </c>
      <c r="D53" s="110"/>
      <c r="E53" s="110"/>
      <c r="F53" s="111">
        <f t="shared" si="1"/>
        <v>4</v>
      </c>
      <c r="G53" s="112" t="s">
        <v>186</v>
      </c>
      <c r="H53" s="113">
        <v>44904</v>
      </c>
      <c r="I53" s="113" t="s">
        <v>120</v>
      </c>
      <c r="J53" s="114" t="s">
        <v>186</v>
      </c>
      <c r="K53" s="114" t="s">
        <v>186</v>
      </c>
      <c r="L53" s="114" t="s">
        <v>186</v>
      </c>
      <c r="M53" s="114" t="s">
        <v>186</v>
      </c>
      <c r="N53" s="115" t="s">
        <v>111</v>
      </c>
      <c r="O53" s="118" t="s">
        <v>172</v>
      </c>
      <c r="P53" s="116" t="s">
        <v>166</v>
      </c>
    </row>
    <row r="54" spans="1:17" ht="16" customHeight="1">
      <c r="A54" s="120" t="s">
        <v>43</v>
      </c>
      <c r="B54" s="121"/>
      <c r="C54" s="122"/>
      <c r="D54" s="123"/>
      <c r="E54" s="124"/>
      <c r="F54" s="125"/>
      <c r="G54" s="125"/>
      <c r="H54" s="126"/>
      <c r="I54" s="126"/>
      <c r="J54" s="128"/>
      <c r="K54" s="128"/>
      <c r="L54" s="128"/>
      <c r="M54" s="128"/>
      <c r="N54" s="128"/>
      <c r="O54" s="129"/>
      <c r="P54" s="129"/>
    </row>
    <row r="55" spans="1:17" ht="16" customHeight="1">
      <c r="A55" s="107" t="s">
        <v>44</v>
      </c>
      <c r="B55" s="108" t="s">
        <v>108</v>
      </c>
      <c r="C55" s="109">
        <f t="shared" si="0"/>
        <v>4</v>
      </c>
      <c r="D55" s="110"/>
      <c r="E55" s="110"/>
      <c r="F55" s="111">
        <f t="shared" si="1"/>
        <v>4</v>
      </c>
      <c r="G55" s="112" t="s">
        <v>186</v>
      </c>
      <c r="H55" s="113">
        <v>44914</v>
      </c>
      <c r="I55" s="113">
        <v>44914</v>
      </c>
      <c r="J55" s="114" t="s">
        <v>186</v>
      </c>
      <c r="K55" s="114" t="s">
        <v>186</v>
      </c>
      <c r="L55" s="114" t="s">
        <v>186</v>
      </c>
      <c r="M55" s="114" t="s">
        <v>186</v>
      </c>
      <c r="N55" s="115" t="s">
        <v>111</v>
      </c>
      <c r="O55" s="118" t="s">
        <v>308</v>
      </c>
      <c r="P55" s="116" t="s">
        <v>181</v>
      </c>
    </row>
    <row r="56" spans="1:17" ht="16" customHeight="1">
      <c r="A56" s="107" t="s">
        <v>548</v>
      </c>
      <c r="B56" s="108" t="s">
        <v>108</v>
      </c>
      <c r="C56" s="109">
        <f t="shared" si="0"/>
        <v>4</v>
      </c>
      <c r="D56" s="110"/>
      <c r="E56" s="110"/>
      <c r="F56" s="111">
        <f t="shared" si="1"/>
        <v>4</v>
      </c>
      <c r="G56" s="112" t="s">
        <v>186</v>
      </c>
      <c r="H56" s="113">
        <v>44900</v>
      </c>
      <c r="I56" s="113">
        <v>44904</v>
      </c>
      <c r="J56" s="114" t="s">
        <v>186</v>
      </c>
      <c r="K56" s="114" t="s">
        <v>186</v>
      </c>
      <c r="L56" s="114" t="s">
        <v>186</v>
      </c>
      <c r="M56" s="114" t="s">
        <v>186</v>
      </c>
      <c r="N56" s="115" t="s">
        <v>111</v>
      </c>
      <c r="O56" s="118" t="s">
        <v>516</v>
      </c>
      <c r="P56" s="116" t="s">
        <v>181</v>
      </c>
    </row>
    <row r="57" spans="1:17" s="30" customFormat="1" ht="16" customHeight="1">
      <c r="A57" s="107" t="s">
        <v>45</v>
      </c>
      <c r="B57" s="108" t="s">
        <v>108</v>
      </c>
      <c r="C57" s="109">
        <f t="shared" si="0"/>
        <v>4</v>
      </c>
      <c r="D57" s="110"/>
      <c r="E57" s="110">
        <v>0.5</v>
      </c>
      <c r="F57" s="111">
        <f t="shared" si="1"/>
        <v>2</v>
      </c>
      <c r="G57" s="112" t="s">
        <v>186</v>
      </c>
      <c r="H57" s="113">
        <v>44923</v>
      </c>
      <c r="I57" s="113" t="s">
        <v>120</v>
      </c>
      <c r="J57" s="117" t="s">
        <v>186</v>
      </c>
      <c r="K57" s="117" t="s">
        <v>160</v>
      </c>
      <c r="L57" s="117" t="s">
        <v>111</v>
      </c>
      <c r="M57" s="117" t="s">
        <v>111</v>
      </c>
      <c r="N57" s="115" t="s">
        <v>243</v>
      </c>
      <c r="O57" s="118" t="s">
        <v>517</v>
      </c>
      <c r="P57" s="116" t="s">
        <v>181</v>
      </c>
      <c r="Q57" s="70"/>
    </row>
    <row r="58" spans="1:17" ht="16" customHeight="1">
      <c r="A58" s="107" t="s">
        <v>46</v>
      </c>
      <c r="B58" s="108" t="s">
        <v>108</v>
      </c>
      <c r="C58" s="109">
        <f t="shared" si="0"/>
        <v>4</v>
      </c>
      <c r="D58" s="110"/>
      <c r="E58" s="110"/>
      <c r="F58" s="111">
        <f t="shared" si="1"/>
        <v>4</v>
      </c>
      <c r="G58" s="112" t="s">
        <v>186</v>
      </c>
      <c r="H58" s="113">
        <v>44888</v>
      </c>
      <c r="I58" s="113" t="s">
        <v>120</v>
      </c>
      <c r="J58" s="114" t="s">
        <v>186</v>
      </c>
      <c r="K58" s="114" t="s">
        <v>186</v>
      </c>
      <c r="L58" s="114" t="s">
        <v>186</v>
      </c>
      <c r="M58" s="114" t="s">
        <v>186</v>
      </c>
      <c r="N58" s="115" t="s">
        <v>111</v>
      </c>
      <c r="O58" s="118" t="s">
        <v>309</v>
      </c>
      <c r="P58" s="116" t="s">
        <v>181</v>
      </c>
    </row>
    <row r="59" spans="1:17" ht="16" customHeight="1">
      <c r="A59" s="107" t="s">
        <v>47</v>
      </c>
      <c r="B59" s="108" t="s">
        <v>108</v>
      </c>
      <c r="C59" s="109">
        <f t="shared" si="0"/>
        <v>4</v>
      </c>
      <c r="D59" s="110"/>
      <c r="E59" s="110"/>
      <c r="F59" s="111">
        <f t="shared" si="1"/>
        <v>4</v>
      </c>
      <c r="G59" s="112" t="s">
        <v>186</v>
      </c>
      <c r="H59" s="113">
        <v>44921</v>
      </c>
      <c r="I59" s="113" t="s">
        <v>120</v>
      </c>
      <c r="J59" s="114" t="s">
        <v>186</v>
      </c>
      <c r="K59" s="114" t="s">
        <v>186</v>
      </c>
      <c r="L59" s="114" t="s">
        <v>186</v>
      </c>
      <c r="M59" s="114" t="s">
        <v>186</v>
      </c>
      <c r="N59" s="115" t="s">
        <v>111</v>
      </c>
      <c r="O59" s="118" t="s">
        <v>518</v>
      </c>
      <c r="P59" s="116" t="s">
        <v>181</v>
      </c>
    </row>
    <row r="60" spans="1:17" ht="16" customHeight="1">
      <c r="A60" s="107" t="s">
        <v>549</v>
      </c>
      <c r="B60" s="108" t="s">
        <v>108</v>
      </c>
      <c r="C60" s="109">
        <f t="shared" si="0"/>
        <v>4</v>
      </c>
      <c r="D60" s="110"/>
      <c r="E60" s="110"/>
      <c r="F60" s="111">
        <f t="shared" si="1"/>
        <v>4</v>
      </c>
      <c r="G60" s="112" t="s">
        <v>186</v>
      </c>
      <c r="H60" s="113">
        <v>44894</v>
      </c>
      <c r="I60" s="113">
        <v>44898</v>
      </c>
      <c r="J60" s="114" t="s">
        <v>186</v>
      </c>
      <c r="K60" s="114" t="s">
        <v>186</v>
      </c>
      <c r="L60" s="114" t="s">
        <v>186</v>
      </c>
      <c r="M60" s="114" t="s">
        <v>186</v>
      </c>
      <c r="N60" s="107" t="s">
        <v>541</v>
      </c>
      <c r="O60" s="118" t="s">
        <v>310</v>
      </c>
      <c r="P60" s="116" t="s">
        <v>311</v>
      </c>
      <c r="Q60" s="70" t="s">
        <v>111</v>
      </c>
    </row>
    <row r="61" spans="1:17" ht="16" customHeight="1">
      <c r="A61" s="107" t="s">
        <v>48</v>
      </c>
      <c r="B61" s="108" t="s">
        <v>108</v>
      </c>
      <c r="C61" s="109">
        <f t="shared" si="0"/>
        <v>4</v>
      </c>
      <c r="D61" s="110"/>
      <c r="E61" s="110">
        <v>0.5</v>
      </c>
      <c r="F61" s="111">
        <f t="shared" si="1"/>
        <v>2</v>
      </c>
      <c r="G61" s="112" t="s">
        <v>186</v>
      </c>
      <c r="H61" s="113">
        <v>44895</v>
      </c>
      <c r="I61" s="113">
        <v>44900</v>
      </c>
      <c r="J61" s="114" t="s">
        <v>186</v>
      </c>
      <c r="K61" s="114" t="s">
        <v>186</v>
      </c>
      <c r="L61" s="114" t="s">
        <v>186</v>
      </c>
      <c r="M61" s="114" t="s">
        <v>160</v>
      </c>
      <c r="N61" s="115" t="s">
        <v>244</v>
      </c>
      <c r="O61" s="118" t="s">
        <v>312</v>
      </c>
      <c r="P61" s="118" t="s">
        <v>313</v>
      </c>
      <c r="Q61" s="70" t="s">
        <v>111</v>
      </c>
    </row>
    <row r="62" spans="1:17" ht="16" customHeight="1">
      <c r="A62" s="107" t="s">
        <v>49</v>
      </c>
      <c r="B62" s="108" t="s">
        <v>108</v>
      </c>
      <c r="C62" s="109">
        <f t="shared" si="0"/>
        <v>4</v>
      </c>
      <c r="D62" s="110"/>
      <c r="E62" s="110"/>
      <c r="F62" s="111">
        <f t="shared" si="1"/>
        <v>4</v>
      </c>
      <c r="G62" s="112" t="s">
        <v>186</v>
      </c>
      <c r="H62" s="113">
        <v>44914</v>
      </c>
      <c r="I62" s="113">
        <v>44918</v>
      </c>
      <c r="J62" s="114" t="s">
        <v>186</v>
      </c>
      <c r="K62" s="114" t="s">
        <v>186</v>
      </c>
      <c r="L62" s="114" t="s">
        <v>186</v>
      </c>
      <c r="M62" s="114" t="s">
        <v>186</v>
      </c>
      <c r="N62" s="115" t="s">
        <v>111</v>
      </c>
      <c r="O62" s="118" t="s">
        <v>519</v>
      </c>
      <c r="P62" s="116" t="s">
        <v>181</v>
      </c>
    </row>
    <row r="63" spans="1:17" ht="16" customHeight="1">
      <c r="A63" s="107" t="s">
        <v>550</v>
      </c>
      <c r="B63" s="108" t="s">
        <v>108</v>
      </c>
      <c r="C63" s="109">
        <f t="shared" si="0"/>
        <v>4</v>
      </c>
      <c r="D63" s="110"/>
      <c r="E63" s="110"/>
      <c r="F63" s="111">
        <f t="shared" si="1"/>
        <v>4</v>
      </c>
      <c r="G63" s="112" t="s">
        <v>186</v>
      </c>
      <c r="H63" s="113">
        <v>44915</v>
      </c>
      <c r="I63" s="113" t="s">
        <v>120</v>
      </c>
      <c r="J63" s="114" t="s">
        <v>186</v>
      </c>
      <c r="K63" s="114" t="s">
        <v>186</v>
      </c>
      <c r="L63" s="114" t="s">
        <v>186</v>
      </c>
      <c r="M63" s="114" t="s">
        <v>186</v>
      </c>
      <c r="N63" s="115" t="s">
        <v>111</v>
      </c>
      <c r="O63" s="119" t="s">
        <v>127</v>
      </c>
      <c r="P63" s="116" t="s">
        <v>166</v>
      </c>
    </row>
    <row r="64" spans="1:17" ht="16" customHeight="1">
      <c r="A64" s="107" t="s">
        <v>50</v>
      </c>
      <c r="B64" s="108" t="s">
        <v>108</v>
      </c>
      <c r="C64" s="109">
        <f t="shared" si="0"/>
        <v>4</v>
      </c>
      <c r="D64" s="110"/>
      <c r="E64" s="110"/>
      <c r="F64" s="111">
        <f t="shared" si="1"/>
        <v>4</v>
      </c>
      <c r="G64" s="112" t="s">
        <v>186</v>
      </c>
      <c r="H64" s="113">
        <v>44910</v>
      </c>
      <c r="I64" s="113">
        <v>44910</v>
      </c>
      <c r="J64" s="114" t="s">
        <v>186</v>
      </c>
      <c r="K64" s="114" t="s">
        <v>186</v>
      </c>
      <c r="L64" s="114" t="s">
        <v>186</v>
      </c>
      <c r="M64" s="114" t="s">
        <v>186</v>
      </c>
      <c r="N64" s="115" t="s">
        <v>111</v>
      </c>
      <c r="O64" s="118" t="s">
        <v>520</v>
      </c>
      <c r="P64" s="118" t="s">
        <v>166</v>
      </c>
    </row>
    <row r="65" spans="1:17" ht="16" customHeight="1">
      <c r="A65" s="107" t="s">
        <v>51</v>
      </c>
      <c r="B65" s="108" t="s">
        <v>108</v>
      </c>
      <c r="C65" s="109">
        <f t="shared" si="0"/>
        <v>4</v>
      </c>
      <c r="D65" s="110"/>
      <c r="E65" s="110">
        <v>0.5</v>
      </c>
      <c r="F65" s="111">
        <f t="shared" si="1"/>
        <v>2</v>
      </c>
      <c r="G65" s="112" t="s">
        <v>186</v>
      </c>
      <c r="H65" s="113">
        <v>44911</v>
      </c>
      <c r="I65" s="113" t="s">
        <v>120</v>
      </c>
      <c r="J65" s="114" t="s">
        <v>186</v>
      </c>
      <c r="K65" s="114" t="s">
        <v>186</v>
      </c>
      <c r="L65" s="114" t="s">
        <v>160</v>
      </c>
      <c r="M65" s="114" t="s">
        <v>111</v>
      </c>
      <c r="N65" s="115" t="s">
        <v>542</v>
      </c>
      <c r="O65" s="118" t="s">
        <v>128</v>
      </c>
      <c r="P65" s="116" t="s">
        <v>181</v>
      </c>
    </row>
    <row r="66" spans="1:17" ht="16" customHeight="1">
      <c r="A66" s="107" t="s">
        <v>52</v>
      </c>
      <c r="B66" s="108" t="s">
        <v>108</v>
      </c>
      <c r="C66" s="109">
        <f t="shared" si="0"/>
        <v>4</v>
      </c>
      <c r="D66" s="110"/>
      <c r="E66" s="110"/>
      <c r="F66" s="111">
        <f t="shared" si="1"/>
        <v>4</v>
      </c>
      <c r="G66" s="112" t="s">
        <v>186</v>
      </c>
      <c r="H66" s="113">
        <v>44895</v>
      </c>
      <c r="I66" s="113" t="s">
        <v>120</v>
      </c>
      <c r="J66" s="114" t="s">
        <v>186</v>
      </c>
      <c r="K66" s="114" t="s">
        <v>186</v>
      </c>
      <c r="L66" s="114" t="s">
        <v>186</v>
      </c>
      <c r="M66" s="114" t="s">
        <v>186</v>
      </c>
      <c r="N66" s="115" t="s">
        <v>111</v>
      </c>
      <c r="O66" s="118" t="s">
        <v>314</v>
      </c>
      <c r="P66" s="116" t="s">
        <v>166</v>
      </c>
    </row>
    <row r="67" spans="1:17" s="30" customFormat="1" ht="16" customHeight="1">
      <c r="A67" s="107" t="s">
        <v>53</v>
      </c>
      <c r="B67" s="108" t="s">
        <v>108</v>
      </c>
      <c r="C67" s="109">
        <f t="shared" si="0"/>
        <v>4</v>
      </c>
      <c r="D67" s="110"/>
      <c r="E67" s="110"/>
      <c r="F67" s="111">
        <f t="shared" si="1"/>
        <v>4</v>
      </c>
      <c r="G67" s="112" t="s">
        <v>186</v>
      </c>
      <c r="H67" s="113">
        <v>44895</v>
      </c>
      <c r="I67" s="113">
        <v>44897</v>
      </c>
      <c r="J67" s="117" t="s">
        <v>186</v>
      </c>
      <c r="K67" s="117" t="s">
        <v>186</v>
      </c>
      <c r="L67" s="117" t="s">
        <v>186</v>
      </c>
      <c r="M67" s="117" t="s">
        <v>186</v>
      </c>
      <c r="N67" s="115" t="s">
        <v>111</v>
      </c>
      <c r="O67" s="118" t="s">
        <v>205</v>
      </c>
      <c r="P67" s="118" t="s">
        <v>316</v>
      </c>
      <c r="Q67" s="70" t="s">
        <v>111</v>
      </c>
    </row>
    <row r="68" spans="1:17" ht="16" customHeight="1">
      <c r="A68" s="107" t="s">
        <v>54</v>
      </c>
      <c r="B68" s="108" t="s">
        <v>108</v>
      </c>
      <c r="C68" s="109">
        <f t="shared" si="0"/>
        <v>4</v>
      </c>
      <c r="D68" s="110"/>
      <c r="E68" s="110"/>
      <c r="F68" s="111">
        <f t="shared" si="1"/>
        <v>4</v>
      </c>
      <c r="G68" s="112" t="s">
        <v>186</v>
      </c>
      <c r="H68" s="113">
        <v>44903</v>
      </c>
      <c r="I68" s="113" t="s">
        <v>120</v>
      </c>
      <c r="J68" s="114" t="s">
        <v>186</v>
      </c>
      <c r="K68" s="114" t="s">
        <v>186</v>
      </c>
      <c r="L68" s="114" t="s">
        <v>186</v>
      </c>
      <c r="M68" s="114" t="s">
        <v>186</v>
      </c>
      <c r="N68" s="115" t="s">
        <v>535</v>
      </c>
      <c r="O68" s="118" t="s">
        <v>173</v>
      </c>
      <c r="P68" s="118" t="s">
        <v>315</v>
      </c>
      <c r="Q68" s="70" t="s">
        <v>111</v>
      </c>
    </row>
    <row r="69" spans="1:17" ht="16" customHeight="1">
      <c r="A69" s="120" t="s">
        <v>55</v>
      </c>
      <c r="B69" s="121"/>
      <c r="C69" s="122"/>
      <c r="D69" s="123"/>
      <c r="E69" s="124"/>
      <c r="F69" s="125"/>
      <c r="G69" s="125"/>
      <c r="H69" s="126"/>
      <c r="I69" s="126"/>
      <c r="J69" s="128"/>
      <c r="K69" s="128"/>
      <c r="L69" s="128"/>
      <c r="M69" s="128"/>
      <c r="N69" s="128"/>
      <c r="O69" s="129"/>
      <c r="P69" s="129"/>
    </row>
    <row r="70" spans="1:17" ht="16" customHeight="1">
      <c r="A70" s="107" t="s">
        <v>56</v>
      </c>
      <c r="B70" s="108" t="s">
        <v>108</v>
      </c>
      <c r="C70" s="109">
        <f t="shared" si="0"/>
        <v>4</v>
      </c>
      <c r="D70" s="110"/>
      <c r="E70" s="110">
        <v>0.5</v>
      </c>
      <c r="F70" s="111">
        <f t="shared" si="1"/>
        <v>2</v>
      </c>
      <c r="G70" s="112" t="s">
        <v>186</v>
      </c>
      <c r="H70" s="113">
        <v>44923</v>
      </c>
      <c r="I70" s="113" t="s">
        <v>120</v>
      </c>
      <c r="J70" s="114" t="s">
        <v>186</v>
      </c>
      <c r="K70" s="114" t="s">
        <v>186</v>
      </c>
      <c r="L70" s="114" t="s">
        <v>186</v>
      </c>
      <c r="M70" s="114" t="s">
        <v>160</v>
      </c>
      <c r="N70" s="115" t="s">
        <v>244</v>
      </c>
      <c r="O70" s="118" t="s">
        <v>317</v>
      </c>
      <c r="P70" s="116" t="s">
        <v>181</v>
      </c>
    </row>
    <row r="71" spans="1:17" ht="16" customHeight="1">
      <c r="A71" s="107" t="s">
        <v>57</v>
      </c>
      <c r="B71" s="108" t="s">
        <v>108</v>
      </c>
      <c r="C71" s="109">
        <f t="shared" si="0"/>
        <v>4</v>
      </c>
      <c r="D71" s="110"/>
      <c r="E71" s="110"/>
      <c r="F71" s="111">
        <f t="shared" si="1"/>
        <v>4</v>
      </c>
      <c r="G71" s="112" t="s">
        <v>186</v>
      </c>
      <c r="H71" s="113">
        <v>44902</v>
      </c>
      <c r="I71" s="113">
        <v>44908</v>
      </c>
      <c r="J71" s="114" t="s">
        <v>186</v>
      </c>
      <c r="K71" s="114" t="s">
        <v>186</v>
      </c>
      <c r="L71" s="114" t="s">
        <v>186</v>
      </c>
      <c r="M71" s="114" t="s">
        <v>186</v>
      </c>
      <c r="N71" s="115" t="s">
        <v>111</v>
      </c>
      <c r="O71" s="118" t="s">
        <v>174</v>
      </c>
      <c r="P71" s="116" t="s">
        <v>166</v>
      </c>
    </row>
    <row r="72" spans="1:17" ht="16" customHeight="1">
      <c r="A72" s="107" t="s">
        <v>58</v>
      </c>
      <c r="B72" s="108" t="s">
        <v>108</v>
      </c>
      <c r="C72" s="109">
        <f>IF(B72="Да, размещен ",4,0)</f>
        <v>4</v>
      </c>
      <c r="D72" s="110"/>
      <c r="E72" s="110"/>
      <c r="F72" s="111">
        <f t="shared" ref="F72:F86" si="2">C72*(1-D72)*(1-E72)</f>
        <v>4</v>
      </c>
      <c r="G72" s="112" t="s">
        <v>186</v>
      </c>
      <c r="H72" s="113">
        <v>44896</v>
      </c>
      <c r="I72" s="113">
        <v>44904</v>
      </c>
      <c r="J72" s="114" t="s">
        <v>186</v>
      </c>
      <c r="K72" s="114" t="s">
        <v>186</v>
      </c>
      <c r="L72" s="114" t="s">
        <v>186</v>
      </c>
      <c r="M72" s="114" t="s">
        <v>186</v>
      </c>
      <c r="N72" s="115" t="s">
        <v>111</v>
      </c>
      <c r="O72" s="118" t="s">
        <v>521</v>
      </c>
      <c r="P72" s="116" t="s">
        <v>181</v>
      </c>
    </row>
    <row r="73" spans="1:17" ht="16" customHeight="1">
      <c r="A73" s="107" t="s">
        <v>59</v>
      </c>
      <c r="B73" s="108" t="s">
        <v>108</v>
      </c>
      <c r="C73" s="109">
        <f>IF(B73="Да, размещен ",4,0)</f>
        <v>4</v>
      </c>
      <c r="D73" s="110"/>
      <c r="E73" s="110"/>
      <c r="F73" s="111">
        <f t="shared" si="2"/>
        <v>4</v>
      </c>
      <c r="G73" s="112" t="s">
        <v>186</v>
      </c>
      <c r="H73" s="113">
        <v>44922</v>
      </c>
      <c r="I73" s="113">
        <v>44936</v>
      </c>
      <c r="J73" s="114" t="s">
        <v>186</v>
      </c>
      <c r="K73" s="114" t="s">
        <v>186</v>
      </c>
      <c r="L73" s="114" t="s">
        <v>186</v>
      </c>
      <c r="M73" s="114" t="s">
        <v>186</v>
      </c>
      <c r="N73" s="115" t="s">
        <v>111</v>
      </c>
      <c r="O73" s="119" t="s">
        <v>522</v>
      </c>
      <c r="P73" s="116" t="s">
        <v>166</v>
      </c>
    </row>
    <row r="74" spans="1:17" ht="16" customHeight="1">
      <c r="A74" s="107" t="s">
        <v>551</v>
      </c>
      <c r="B74" s="108" t="s">
        <v>108</v>
      </c>
      <c r="C74" s="109">
        <f>IF(B74="Да, размещен ",4,0)</f>
        <v>4</v>
      </c>
      <c r="D74" s="110"/>
      <c r="E74" s="110"/>
      <c r="F74" s="111">
        <f t="shared" si="2"/>
        <v>4</v>
      </c>
      <c r="G74" s="112" t="s">
        <v>186</v>
      </c>
      <c r="H74" s="113">
        <v>44889</v>
      </c>
      <c r="I74" s="113">
        <v>44893</v>
      </c>
      <c r="J74" s="114" t="s">
        <v>186</v>
      </c>
      <c r="K74" s="114" t="s">
        <v>186</v>
      </c>
      <c r="L74" s="114" t="s">
        <v>186</v>
      </c>
      <c r="M74" s="114" t="s">
        <v>186</v>
      </c>
      <c r="N74" s="115" t="s">
        <v>111</v>
      </c>
      <c r="O74" s="119" t="s">
        <v>318</v>
      </c>
      <c r="P74" s="116" t="s">
        <v>181</v>
      </c>
    </row>
    <row r="75" spans="1:17" ht="16" customHeight="1">
      <c r="A75" s="107" t="s">
        <v>60</v>
      </c>
      <c r="B75" s="108" t="s">
        <v>108</v>
      </c>
      <c r="C75" s="109">
        <f>IF(B75="Да, размещен ",4,0)</f>
        <v>4</v>
      </c>
      <c r="D75" s="110"/>
      <c r="E75" s="110"/>
      <c r="F75" s="111">
        <f t="shared" si="2"/>
        <v>4</v>
      </c>
      <c r="G75" s="112" t="s">
        <v>186</v>
      </c>
      <c r="H75" s="113">
        <v>44889</v>
      </c>
      <c r="I75" s="113">
        <v>44890</v>
      </c>
      <c r="J75" s="114" t="s">
        <v>186</v>
      </c>
      <c r="K75" s="114" t="s">
        <v>186</v>
      </c>
      <c r="L75" s="114" t="s">
        <v>186</v>
      </c>
      <c r="M75" s="114" t="s">
        <v>186</v>
      </c>
      <c r="N75" s="115" t="s">
        <v>111</v>
      </c>
      <c r="O75" s="119" t="s">
        <v>523</v>
      </c>
      <c r="P75" s="116" t="s">
        <v>166</v>
      </c>
    </row>
    <row r="76" spans="1:17" ht="16" customHeight="1">
      <c r="A76" s="120" t="s">
        <v>61</v>
      </c>
      <c r="B76" s="121"/>
      <c r="C76" s="122"/>
      <c r="D76" s="123"/>
      <c r="E76" s="124"/>
      <c r="F76" s="125"/>
      <c r="G76" s="125"/>
      <c r="H76" s="126"/>
      <c r="I76" s="126"/>
      <c r="J76" s="127"/>
      <c r="K76" s="128"/>
      <c r="L76" s="128"/>
      <c r="M76" s="128"/>
      <c r="N76" s="128"/>
      <c r="O76" s="129"/>
      <c r="P76" s="129"/>
    </row>
    <row r="77" spans="1:17" ht="16" customHeight="1">
      <c r="A77" s="107" t="s">
        <v>62</v>
      </c>
      <c r="B77" s="108" t="s">
        <v>108</v>
      </c>
      <c r="C77" s="109">
        <f t="shared" ref="C77:C86" si="3">IF(B77="Да, размещен ",4,0)</f>
        <v>4</v>
      </c>
      <c r="D77" s="110"/>
      <c r="E77" s="110"/>
      <c r="F77" s="111">
        <f t="shared" si="2"/>
        <v>4</v>
      </c>
      <c r="G77" s="112" t="s">
        <v>186</v>
      </c>
      <c r="H77" s="113">
        <v>44915</v>
      </c>
      <c r="I77" s="113" t="s">
        <v>120</v>
      </c>
      <c r="J77" s="114" t="s">
        <v>186</v>
      </c>
      <c r="K77" s="114" t="s">
        <v>186</v>
      </c>
      <c r="L77" s="114" t="s">
        <v>186</v>
      </c>
      <c r="M77" s="114" t="s">
        <v>186</v>
      </c>
      <c r="N77" s="115" t="s">
        <v>111</v>
      </c>
      <c r="O77" s="119" t="s">
        <v>319</v>
      </c>
      <c r="P77" s="116" t="s">
        <v>166</v>
      </c>
    </row>
    <row r="78" spans="1:17" ht="16" customHeight="1">
      <c r="A78" s="107" t="s">
        <v>64</v>
      </c>
      <c r="B78" s="108" t="s">
        <v>108</v>
      </c>
      <c r="C78" s="109">
        <f t="shared" si="3"/>
        <v>4</v>
      </c>
      <c r="D78" s="110"/>
      <c r="E78" s="110">
        <v>0.5</v>
      </c>
      <c r="F78" s="111">
        <f t="shared" si="2"/>
        <v>2</v>
      </c>
      <c r="G78" s="112" t="s">
        <v>186</v>
      </c>
      <c r="H78" s="113">
        <v>44910</v>
      </c>
      <c r="I78" s="113">
        <v>44914</v>
      </c>
      <c r="J78" s="114" t="s">
        <v>186</v>
      </c>
      <c r="K78" s="114" t="s">
        <v>160</v>
      </c>
      <c r="L78" s="117" t="s">
        <v>111</v>
      </c>
      <c r="M78" s="117" t="s">
        <v>111</v>
      </c>
      <c r="N78" s="115" t="s">
        <v>243</v>
      </c>
      <c r="O78" s="118" t="s">
        <v>524</v>
      </c>
      <c r="P78" s="116" t="s">
        <v>181</v>
      </c>
    </row>
    <row r="79" spans="1:17" ht="16" customHeight="1">
      <c r="A79" s="107" t="s">
        <v>65</v>
      </c>
      <c r="B79" s="108" t="s">
        <v>108</v>
      </c>
      <c r="C79" s="109">
        <f t="shared" si="3"/>
        <v>4</v>
      </c>
      <c r="D79" s="110"/>
      <c r="E79" s="110"/>
      <c r="F79" s="111">
        <f t="shared" si="2"/>
        <v>4</v>
      </c>
      <c r="G79" s="112" t="s">
        <v>186</v>
      </c>
      <c r="H79" s="113">
        <v>44914</v>
      </c>
      <c r="I79" s="113">
        <v>44886</v>
      </c>
      <c r="J79" s="114" t="s">
        <v>186</v>
      </c>
      <c r="K79" s="114" t="s">
        <v>186</v>
      </c>
      <c r="L79" s="114" t="s">
        <v>186</v>
      </c>
      <c r="M79" s="114" t="s">
        <v>186</v>
      </c>
      <c r="N79" s="115" t="s">
        <v>111</v>
      </c>
      <c r="O79" s="119" t="s">
        <v>320</v>
      </c>
      <c r="P79" s="116" t="s">
        <v>181</v>
      </c>
    </row>
    <row r="80" spans="1:17" ht="16" customHeight="1">
      <c r="A80" s="107" t="s">
        <v>66</v>
      </c>
      <c r="B80" s="108" t="s">
        <v>108</v>
      </c>
      <c r="C80" s="109">
        <f t="shared" si="3"/>
        <v>4</v>
      </c>
      <c r="D80" s="110"/>
      <c r="E80" s="110"/>
      <c r="F80" s="111">
        <f t="shared" si="2"/>
        <v>4</v>
      </c>
      <c r="G80" s="112" t="s">
        <v>186</v>
      </c>
      <c r="H80" s="113">
        <v>44895</v>
      </c>
      <c r="I80" s="113" t="s">
        <v>120</v>
      </c>
      <c r="J80" s="114" t="s">
        <v>186</v>
      </c>
      <c r="K80" s="114" t="s">
        <v>186</v>
      </c>
      <c r="L80" s="114" t="s">
        <v>186</v>
      </c>
      <c r="M80" s="114" t="s">
        <v>186</v>
      </c>
      <c r="N80" s="115" t="s">
        <v>111</v>
      </c>
      <c r="O80" s="119" t="s">
        <v>321</v>
      </c>
      <c r="P80" s="116" t="s">
        <v>181</v>
      </c>
    </row>
    <row r="81" spans="1:17" ht="16" customHeight="1">
      <c r="A81" s="107" t="s">
        <v>68</v>
      </c>
      <c r="B81" s="108" t="s">
        <v>108</v>
      </c>
      <c r="C81" s="109">
        <f t="shared" si="3"/>
        <v>4</v>
      </c>
      <c r="D81" s="110"/>
      <c r="E81" s="110"/>
      <c r="F81" s="111">
        <f t="shared" si="2"/>
        <v>4</v>
      </c>
      <c r="G81" s="112" t="s">
        <v>186</v>
      </c>
      <c r="H81" s="113">
        <v>44915</v>
      </c>
      <c r="I81" s="113">
        <v>44915</v>
      </c>
      <c r="J81" s="117" t="s">
        <v>186</v>
      </c>
      <c r="K81" s="117" t="s">
        <v>186</v>
      </c>
      <c r="L81" s="117" t="s">
        <v>186</v>
      </c>
      <c r="M81" s="117" t="s">
        <v>186</v>
      </c>
      <c r="N81" s="115" t="s">
        <v>111</v>
      </c>
      <c r="O81" s="118" t="s">
        <v>141</v>
      </c>
      <c r="P81" s="116" t="s">
        <v>181</v>
      </c>
    </row>
    <row r="82" spans="1:17" ht="16" customHeight="1">
      <c r="A82" s="107" t="s">
        <v>69</v>
      </c>
      <c r="B82" s="108" t="s">
        <v>108</v>
      </c>
      <c r="C82" s="109">
        <f t="shared" si="3"/>
        <v>4</v>
      </c>
      <c r="D82" s="110"/>
      <c r="E82" s="110"/>
      <c r="F82" s="111">
        <f t="shared" si="2"/>
        <v>4</v>
      </c>
      <c r="G82" s="112" t="s">
        <v>186</v>
      </c>
      <c r="H82" s="113">
        <v>44907</v>
      </c>
      <c r="I82" s="113">
        <v>44907</v>
      </c>
      <c r="J82" s="117" t="s">
        <v>186</v>
      </c>
      <c r="K82" s="117" t="s">
        <v>186</v>
      </c>
      <c r="L82" s="117" t="s">
        <v>186</v>
      </c>
      <c r="M82" s="117" t="s">
        <v>186</v>
      </c>
      <c r="N82" s="115" t="s">
        <v>111</v>
      </c>
      <c r="O82" s="118" t="s">
        <v>206</v>
      </c>
      <c r="P82" s="118" t="s">
        <v>525</v>
      </c>
      <c r="Q82" s="70" t="s">
        <v>111</v>
      </c>
    </row>
    <row r="83" spans="1:17" ht="16" customHeight="1">
      <c r="A83" s="107" t="s">
        <v>552</v>
      </c>
      <c r="B83" s="108" t="s">
        <v>108</v>
      </c>
      <c r="C83" s="109">
        <f t="shared" si="3"/>
        <v>4</v>
      </c>
      <c r="D83" s="110"/>
      <c r="E83" s="110"/>
      <c r="F83" s="111">
        <f t="shared" si="2"/>
        <v>4</v>
      </c>
      <c r="G83" s="112" t="s">
        <v>186</v>
      </c>
      <c r="H83" s="113">
        <v>44910</v>
      </c>
      <c r="I83" s="113">
        <v>44914</v>
      </c>
      <c r="J83" s="114" t="s">
        <v>186</v>
      </c>
      <c r="K83" s="114" t="s">
        <v>186</v>
      </c>
      <c r="L83" s="114" t="s">
        <v>186</v>
      </c>
      <c r="M83" s="114" t="s">
        <v>186</v>
      </c>
      <c r="N83" s="115" t="s">
        <v>111</v>
      </c>
      <c r="O83" s="119" t="s">
        <v>526</v>
      </c>
      <c r="P83" s="116" t="s">
        <v>181</v>
      </c>
    </row>
    <row r="84" spans="1:17" ht="16" customHeight="1">
      <c r="A84" s="107" t="s">
        <v>70</v>
      </c>
      <c r="B84" s="108" t="s">
        <v>108</v>
      </c>
      <c r="C84" s="109">
        <f t="shared" si="3"/>
        <v>4</v>
      </c>
      <c r="D84" s="110"/>
      <c r="E84" s="110"/>
      <c r="F84" s="111">
        <f t="shared" si="2"/>
        <v>4</v>
      </c>
      <c r="G84" s="112" t="s">
        <v>186</v>
      </c>
      <c r="H84" s="113">
        <v>44918</v>
      </c>
      <c r="I84" s="113">
        <v>44921</v>
      </c>
      <c r="J84" s="114" t="s">
        <v>186</v>
      </c>
      <c r="K84" s="114" t="s">
        <v>186</v>
      </c>
      <c r="L84" s="114" t="s">
        <v>186</v>
      </c>
      <c r="M84" s="114" t="s">
        <v>186</v>
      </c>
      <c r="N84" s="115" t="s">
        <v>111</v>
      </c>
      <c r="O84" s="119" t="s">
        <v>175</v>
      </c>
      <c r="P84" s="116" t="s">
        <v>166</v>
      </c>
    </row>
    <row r="85" spans="1:17" ht="16" customHeight="1">
      <c r="A85" s="107" t="s">
        <v>71</v>
      </c>
      <c r="B85" s="108" t="s">
        <v>108</v>
      </c>
      <c r="C85" s="109">
        <f t="shared" si="3"/>
        <v>4</v>
      </c>
      <c r="D85" s="110"/>
      <c r="E85" s="110"/>
      <c r="F85" s="111">
        <f t="shared" si="2"/>
        <v>4</v>
      </c>
      <c r="G85" s="112" t="s">
        <v>186</v>
      </c>
      <c r="H85" s="113">
        <v>44917</v>
      </c>
      <c r="I85" s="113">
        <v>44936</v>
      </c>
      <c r="J85" s="114" t="s">
        <v>186</v>
      </c>
      <c r="K85" s="114" t="s">
        <v>186</v>
      </c>
      <c r="L85" s="114" t="s">
        <v>186</v>
      </c>
      <c r="M85" s="114" t="s">
        <v>186</v>
      </c>
      <c r="N85" s="115" t="s">
        <v>111</v>
      </c>
      <c r="O85" s="119" t="s">
        <v>527</v>
      </c>
      <c r="P85" s="116" t="s">
        <v>166</v>
      </c>
    </row>
    <row r="86" spans="1:17" ht="16" customHeight="1">
      <c r="A86" s="107" t="s">
        <v>72</v>
      </c>
      <c r="B86" s="108" t="s">
        <v>108</v>
      </c>
      <c r="C86" s="109">
        <f t="shared" si="3"/>
        <v>4</v>
      </c>
      <c r="D86" s="110"/>
      <c r="E86" s="110"/>
      <c r="F86" s="111">
        <f t="shared" si="2"/>
        <v>4</v>
      </c>
      <c r="G86" s="112" t="s">
        <v>186</v>
      </c>
      <c r="H86" s="113">
        <v>44923</v>
      </c>
      <c r="I86" s="113">
        <v>44923</v>
      </c>
      <c r="J86" s="114" t="s">
        <v>186</v>
      </c>
      <c r="K86" s="114" t="s">
        <v>186</v>
      </c>
      <c r="L86" s="114" t="s">
        <v>186</v>
      </c>
      <c r="M86" s="114" t="s">
        <v>186</v>
      </c>
      <c r="N86" s="115" t="s">
        <v>111</v>
      </c>
      <c r="O86" s="119" t="s">
        <v>322</v>
      </c>
      <c r="P86" s="116" t="s">
        <v>181</v>
      </c>
    </row>
    <row r="87" spans="1:17" ht="16" customHeight="1">
      <c r="A87" s="120" t="s">
        <v>73</v>
      </c>
      <c r="B87" s="121"/>
      <c r="C87" s="122"/>
      <c r="D87" s="123"/>
      <c r="E87" s="124"/>
      <c r="F87" s="125"/>
      <c r="G87" s="125"/>
      <c r="H87" s="126"/>
      <c r="I87" s="126"/>
      <c r="J87" s="127"/>
      <c r="K87" s="128"/>
      <c r="L87" s="128"/>
      <c r="M87" s="128"/>
      <c r="N87" s="128"/>
      <c r="O87" s="129"/>
      <c r="P87" s="129"/>
    </row>
    <row r="88" spans="1:17" ht="16" customHeight="1">
      <c r="A88" s="107" t="s">
        <v>63</v>
      </c>
      <c r="B88" s="108" t="s">
        <v>108</v>
      </c>
      <c r="C88" s="109">
        <f t="shared" ref="C88:C98" si="4">IF(B88="Да, размещен ",4,0)</f>
        <v>4</v>
      </c>
      <c r="D88" s="110"/>
      <c r="E88" s="110"/>
      <c r="F88" s="111">
        <f>C88*(1-D88)*(1-E88)</f>
        <v>4</v>
      </c>
      <c r="G88" s="112" t="s">
        <v>186</v>
      </c>
      <c r="H88" s="113">
        <v>44916</v>
      </c>
      <c r="I88" s="113" t="s">
        <v>120</v>
      </c>
      <c r="J88" s="114" t="s">
        <v>186</v>
      </c>
      <c r="K88" s="114" t="s">
        <v>186</v>
      </c>
      <c r="L88" s="114" t="s">
        <v>186</v>
      </c>
      <c r="M88" s="114" t="s">
        <v>186</v>
      </c>
      <c r="N88" s="115" t="s">
        <v>111</v>
      </c>
      <c r="O88" s="118" t="s">
        <v>323</v>
      </c>
      <c r="P88" s="116" t="s">
        <v>166</v>
      </c>
    </row>
    <row r="89" spans="1:17" ht="16" customHeight="1">
      <c r="A89" s="107" t="s">
        <v>74</v>
      </c>
      <c r="B89" s="108" t="s">
        <v>108</v>
      </c>
      <c r="C89" s="109">
        <f t="shared" si="4"/>
        <v>4</v>
      </c>
      <c r="D89" s="110"/>
      <c r="E89" s="110"/>
      <c r="F89" s="111">
        <f>C89*(1-D89)*(1-E89)</f>
        <v>4</v>
      </c>
      <c r="G89" s="112" t="s">
        <v>186</v>
      </c>
      <c r="H89" s="113">
        <v>44904</v>
      </c>
      <c r="I89" s="113">
        <v>44907</v>
      </c>
      <c r="J89" s="114" t="s">
        <v>186</v>
      </c>
      <c r="K89" s="114" t="s">
        <v>186</v>
      </c>
      <c r="L89" s="114" t="s">
        <v>186</v>
      </c>
      <c r="M89" s="114" t="s">
        <v>186</v>
      </c>
      <c r="N89" s="115" t="s">
        <v>111</v>
      </c>
      <c r="O89" s="118" t="s">
        <v>528</v>
      </c>
      <c r="P89" s="116" t="s">
        <v>166</v>
      </c>
    </row>
    <row r="90" spans="1:17" ht="16" customHeight="1">
      <c r="A90" s="107" t="s">
        <v>67</v>
      </c>
      <c r="B90" s="108" t="s">
        <v>108</v>
      </c>
      <c r="C90" s="109">
        <f t="shared" si="4"/>
        <v>4</v>
      </c>
      <c r="D90" s="110"/>
      <c r="E90" s="110"/>
      <c r="F90" s="111">
        <f>C90*(1-D90)*(1-E90)</f>
        <v>4</v>
      </c>
      <c r="G90" s="112" t="s">
        <v>186</v>
      </c>
      <c r="H90" s="113">
        <v>44917</v>
      </c>
      <c r="I90" s="113">
        <v>44924</v>
      </c>
      <c r="J90" s="114" t="s">
        <v>186</v>
      </c>
      <c r="K90" s="114" t="s">
        <v>186</v>
      </c>
      <c r="L90" s="114" t="s">
        <v>186</v>
      </c>
      <c r="M90" s="114" t="s">
        <v>186</v>
      </c>
      <c r="N90" s="115" t="s">
        <v>111</v>
      </c>
      <c r="O90" s="118" t="s">
        <v>529</v>
      </c>
      <c r="P90" s="116" t="s">
        <v>166</v>
      </c>
    </row>
    <row r="91" spans="1:17" ht="16" customHeight="1">
      <c r="A91" s="107" t="s">
        <v>75</v>
      </c>
      <c r="B91" s="108" t="s">
        <v>108</v>
      </c>
      <c r="C91" s="109">
        <f t="shared" si="4"/>
        <v>4</v>
      </c>
      <c r="D91" s="110"/>
      <c r="E91" s="110"/>
      <c r="F91" s="111">
        <f>C91*(1-D91)*(1-E91)</f>
        <v>4</v>
      </c>
      <c r="G91" s="112" t="s">
        <v>186</v>
      </c>
      <c r="H91" s="113">
        <v>44894</v>
      </c>
      <c r="I91" s="113">
        <v>44897</v>
      </c>
      <c r="J91" s="114" t="s">
        <v>186</v>
      </c>
      <c r="K91" s="114" t="s">
        <v>186</v>
      </c>
      <c r="L91" s="114" t="s">
        <v>186</v>
      </c>
      <c r="M91" s="114" t="s">
        <v>186</v>
      </c>
      <c r="N91" s="115" t="s">
        <v>111</v>
      </c>
      <c r="O91" s="119" t="s">
        <v>324</v>
      </c>
      <c r="P91" s="116" t="s">
        <v>166</v>
      </c>
    </row>
    <row r="92" spans="1:17" ht="16" customHeight="1">
      <c r="A92" s="107" t="s">
        <v>553</v>
      </c>
      <c r="B92" s="108" t="s">
        <v>108</v>
      </c>
      <c r="C92" s="109">
        <f t="shared" si="4"/>
        <v>4</v>
      </c>
      <c r="D92" s="110"/>
      <c r="E92" s="110"/>
      <c r="F92" s="111">
        <f t="shared" ref="F92:F98" si="5">C92*(1-D92)*(1-E92)</f>
        <v>4</v>
      </c>
      <c r="G92" s="112" t="s">
        <v>186</v>
      </c>
      <c r="H92" s="113">
        <v>44915</v>
      </c>
      <c r="I92" s="113">
        <v>44915</v>
      </c>
      <c r="J92" s="114" t="s">
        <v>186</v>
      </c>
      <c r="K92" s="114" t="s">
        <v>186</v>
      </c>
      <c r="L92" s="114" t="s">
        <v>186</v>
      </c>
      <c r="M92" s="114" t="s">
        <v>186</v>
      </c>
      <c r="N92" s="115" t="s">
        <v>111</v>
      </c>
      <c r="O92" s="119" t="s">
        <v>176</v>
      </c>
      <c r="P92" s="116" t="s">
        <v>530</v>
      </c>
      <c r="Q92" s="70" t="s">
        <v>111</v>
      </c>
    </row>
    <row r="93" spans="1:17" ht="16" customHeight="1">
      <c r="A93" s="107" t="s">
        <v>76</v>
      </c>
      <c r="B93" s="108" t="s">
        <v>108</v>
      </c>
      <c r="C93" s="109">
        <f t="shared" si="4"/>
        <v>4</v>
      </c>
      <c r="D93" s="110"/>
      <c r="E93" s="110"/>
      <c r="F93" s="111">
        <f t="shared" si="5"/>
        <v>4</v>
      </c>
      <c r="G93" s="112" t="s">
        <v>186</v>
      </c>
      <c r="H93" s="113">
        <v>44886</v>
      </c>
      <c r="I93" s="113">
        <v>44896</v>
      </c>
      <c r="J93" s="114" t="s">
        <v>186</v>
      </c>
      <c r="K93" s="114" t="s">
        <v>186</v>
      </c>
      <c r="L93" s="114" t="s">
        <v>186</v>
      </c>
      <c r="M93" s="114" t="s">
        <v>186</v>
      </c>
      <c r="N93" s="115" t="s">
        <v>111</v>
      </c>
      <c r="O93" s="119" t="s">
        <v>531</v>
      </c>
      <c r="P93" s="116" t="s">
        <v>181</v>
      </c>
    </row>
    <row r="94" spans="1:17" ht="16" customHeight="1">
      <c r="A94" s="107" t="s">
        <v>77</v>
      </c>
      <c r="B94" s="108" t="s">
        <v>108</v>
      </c>
      <c r="C94" s="109">
        <f t="shared" si="4"/>
        <v>4</v>
      </c>
      <c r="D94" s="110"/>
      <c r="E94" s="110"/>
      <c r="F94" s="111">
        <f t="shared" si="5"/>
        <v>4</v>
      </c>
      <c r="G94" s="112" t="s">
        <v>186</v>
      </c>
      <c r="H94" s="113">
        <v>44908</v>
      </c>
      <c r="I94" s="113">
        <v>44914</v>
      </c>
      <c r="J94" s="114" t="s">
        <v>186</v>
      </c>
      <c r="K94" s="114" t="s">
        <v>186</v>
      </c>
      <c r="L94" s="114" t="s">
        <v>186</v>
      </c>
      <c r="M94" s="114" t="s">
        <v>186</v>
      </c>
      <c r="N94" s="115" t="s">
        <v>111</v>
      </c>
      <c r="O94" s="118" t="s">
        <v>177</v>
      </c>
      <c r="P94" s="118" t="s">
        <v>325</v>
      </c>
      <c r="Q94" s="70" t="s">
        <v>111</v>
      </c>
    </row>
    <row r="95" spans="1:17" ht="16" customHeight="1">
      <c r="A95" s="107" t="s">
        <v>78</v>
      </c>
      <c r="B95" s="108" t="s">
        <v>108</v>
      </c>
      <c r="C95" s="109">
        <f t="shared" si="4"/>
        <v>4</v>
      </c>
      <c r="D95" s="110"/>
      <c r="E95" s="110"/>
      <c r="F95" s="111">
        <f t="shared" si="5"/>
        <v>4</v>
      </c>
      <c r="G95" s="112" t="s">
        <v>186</v>
      </c>
      <c r="H95" s="113">
        <v>44897</v>
      </c>
      <c r="I95" s="130">
        <v>44900</v>
      </c>
      <c r="J95" s="114" t="s">
        <v>186</v>
      </c>
      <c r="K95" s="114" t="s">
        <v>186</v>
      </c>
      <c r="L95" s="114" t="s">
        <v>186</v>
      </c>
      <c r="M95" s="114" t="s">
        <v>186</v>
      </c>
      <c r="N95" s="115" t="s">
        <v>111</v>
      </c>
      <c r="O95" s="118" t="s">
        <v>207</v>
      </c>
      <c r="P95" s="118" t="s">
        <v>532</v>
      </c>
      <c r="Q95" s="70" t="s">
        <v>111</v>
      </c>
    </row>
    <row r="96" spans="1:17" ht="16" customHeight="1">
      <c r="A96" s="107" t="s">
        <v>79</v>
      </c>
      <c r="B96" s="108" t="s">
        <v>108</v>
      </c>
      <c r="C96" s="109">
        <f t="shared" si="4"/>
        <v>4</v>
      </c>
      <c r="D96" s="110"/>
      <c r="E96" s="110"/>
      <c r="F96" s="111">
        <f t="shared" si="5"/>
        <v>4</v>
      </c>
      <c r="G96" s="112" t="s">
        <v>186</v>
      </c>
      <c r="H96" s="113">
        <v>44921</v>
      </c>
      <c r="I96" s="113" t="s">
        <v>120</v>
      </c>
      <c r="J96" s="114" t="s">
        <v>186</v>
      </c>
      <c r="K96" s="114" t="s">
        <v>186</v>
      </c>
      <c r="L96" s="114" t="s">
        <v>186</v>
      </c>
      <c r="M96" s="114" t="s">
        <v>186</v>
      </c>
      <c r="N96" s="115" t="s">
        <v>111</v>
      </c>
      <c r="O96" s="118" t="s">
        <v>178</v>
      </c>
      <c r="P96" s="118" t="s">
        <v>326</v>
      </c>
      <c r="Q96" s="70" t="s">
        <v>111</v>
      </c>
    </row>
    <row r="97" spans="1:17" ht="16" customHeight="1">
      <c r="A97" s="107" t="s">
        <v>80</v>
      </c>
      <c r="B97" s="108" t="s">
        <v>108</v>
      </c>
      <c r="C97" s="109">
        <f t="shared" si="4"/>
        <v>4</v>
      </c>
      <c r="D97" s="110"/>
      <c r="E97" s="110">
        <v>0.5</v>
      </c>
      <c r="F97" s="111">
        <f t="shared" si="5"/>
        <v>2</v>
      </c>
      <c r="G97" s="112" t="s">
        <v>186</v>
      </c>
      <c r="H97" s="113">
        <v>44901</v>
      </c>
      <c r="I97" s="130" t="s">
        <v>120</v>
      </c>
      <c r="J97" s="114" t="s">
        <v>186</v>
      </c>
      <c r="K97" s="114" t="s">
        <v>186</v>
      </c>
      <c r="L97" s="114" t="s">
        <v>160</v>
      </c>
      <c r="M97" s="114" t="s">
        <v>186</v>
      </c>
      <c r="N97" s="115" t="s">
        <v>542</v>
      </c>
      <c r="O97" s="118" t="s">
        <v>245</v>
      </c>
      <c r="P97" s="116" t="s">
        <v>181</v>
      </c>
    </row>
    <row r="98" spans="1:17" ht="16" customHeight="1">
      <c r="A98" s="107" t="s">
        <v>81</v>
      </c>
      <c r="B98" s="108" t="s">
        <v>108</v>
      </c>
      <c r="C98" s="109">
        <f t="shared" si="4"/>
        <v>4</v>
      </c>
      <c r="D98" s="110"/>
      <c r="E98" s="110">
        <v>0.5</v>
      </c>
      <c r="F98" s="111">
        <f t="shared" si="5"/>
        <v>2</v>
      </c>
      <c r="G98" s="112" t="s">
        <v>186</v>
      </c>
      <c r="H98" s="113">
        <v>44531</v>
      </c>
      <c r="I98" s="130" t="s">
        <v>120</v>
      </c>
      <c r="J98" s="114" t="s">
        <v>186</v>
      </c>
      <c r="K98" s="114" t="s">
        <v>186</v>
      </c>
      <c r="L98" s="114" t="s">
        <v>543</v>
      </c>
      <c r="M98" s="114" t="s">
        <v>111</v>
      </c>
      <c r="N98" s="115" t="s">
        <v>544</v>
      </c>
      <c r="O98" s="118" t="s">
        <v>533</v>
      </c>
      <c r="P98" s="116" t="s">
        <v>181</v>
      </c>
      <c r="Q98" s="70" t="s">
        <v>111</v>
      </c>
    </row>
    <row r="99" spans="1:17">
      <c r="O99" s="169"/>
    </row>
  </sheetData>
  <mergeCells count="17">
    <mergeCell ref="O3:P3"/>
    <mergeCell ref="C4:C5"/>
    <mergeCell ref="D4:D5"/>
    <mergeCell ref="E4:E5"/>
    <mergeCell ref="F4:F5"/>
    <mergeCell ref="O4:O5"/>
    <mergeCell ref="P4:P5"/>
    <mergeCell ref="J3:J5"/>
    <mergeCell ref="K3:K5"/>
    <mergeCell ref="L3:L5"/>
    <mergeCell ref="M3:M5"/>
    <mergeCell ref="N3:N5"/>
    <mergeCell ref="A3:A5"/>
    <mergeCell ref="C3:F3"/>
    <mergeCell ref="G3:G5"/>
    <mergeCell ref="H3:H5"/>
    <mergeCell ref="I3:I5"/>
  </mergeCells>
  <dataValidations count="1">
    <dataValidation type="list" allowBlank="1" showInputMessage="1" showErrorMessage="1" sqref="B25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B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B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B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B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B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B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B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B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B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B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B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B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B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B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B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B37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B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B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B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B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B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B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B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B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B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B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B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B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B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B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B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B46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B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B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B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B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B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B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B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B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B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B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B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B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B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B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B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B54 IT54 SP54 ACL54 AMH54 AWD54 BFZ54 BPV54 BZR54 CJN54 CTJ54 DDF54 DNB54 DWX54 EGT54 EQP54 FAL54 FKH54 FUD54 GDZ54 GNV54 GXR54 HHN54 HRJ54 IBF54 ILB54 IUX54 JET54 JOP54 JYL54 KIH54 KSD54 LBZ54 LLV54 LVR54 MFN54 MPJ54 MZF54 NJB54 NSX54 OCT54 OMP54 OWL54 PGH54 PQD54 PZZ54 QJV54 QTR54 RDN54 RNJ54 RXF54 SHB54 SQX54 TAT54 TKP54 TUL54 UEH54 UOD54 UXZ54 VHV54 VRR54 WBN54 WLJ54 WVF54 B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B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B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B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B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B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B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B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B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B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B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B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B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B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B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B69 IT69 SP69 ACL69 AMH69 AWD69 BFZ69 BPV69 BZR69 CJN69 CTJ69 DDF69 DNB69 DWX69 EGT69 EQP69 FAL69 FKH69 FUD69 GDZ69 GNV69 GXR69 HHN69 HRJ69 IBF69 ILB69 IUX69 JET69 JOP69 JYL69 KIH69 KSD69 LBZ69 LLV69 LVR69 MFN69 MPJ69 MZF69 NJB69 NSX69 OCT69 OMP69 OWL69 PGH69 PQD69 PZZ69 QJV69 QTR69 RDN69 RNJ69 RXF69 SHB69 SQX69 TAT69 TKP69 TUL69 UEH69 UOD69 UXZ69 VHV69 VRR69 WBN69 WLJ69 WVF69 B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B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B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B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B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B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B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B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B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B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B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B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B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B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B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B76 IT76 SP76 ACL76 AMH76 AWD76 BFZ76 BPV76 BZR76 CJN76 CTJ76 DDF76 DNB76 DWX76 EGT76 EQP76 FAL76 FKH76 FUD76 GDZ76 GNV76 GXR76 HHN76 HRJ76 IBF76 ILB76 IUX76 JET76 JOP76 JYL76 KIH76 KSD76 LBZ76 LLV76 LVR76 MFN76 MPJ76 MZF76 NJB76 NSX76 OCT76 OMP76 OWL76 PGH76 PQD76 PZZ76 QJV76 QTR76 RDN76 RNJ76 RXF76 SHB76 SQX76 TAT76 TKP76 TUL76 UEH76 UOD76 UXZ76 VHV76 VRR76 WBN76 WLJ76 WVF76 B65612 IT65612 SP65612 ACL65612 AMH65612 AWD65612 BFZ65612 BPV65612 BZR65612 CJN65612 CTJ65612 DDF65612 DNB65612 DWX65612 EGT65612 EQP65612 FAL65612 FKH65612 FUD65612 GDZ65612 GNV65612 GXR65612 HHN65612 HRJ65612 IBF65612 ILB65612 IUX65612 JET65612 JOP65612 JYL65612 KIH65612 KSD65612 LBZ65612 LLV65612 LVR65612 MFN65612 MPJ65612 MZF65612 NJB65612 NSX65612 OCT65612 OMP65612 OWL65612 PGH65612 PQD65612 PZZ65612 QJV65612 QTR65612 RDN65612 RNJ65612 RXF65612 SHB65612 SQX65612 TAT65612 TKP65612 TUL65612 UEH65612 UOD65612 UXZ65612 VHV65612 VRR65612 WBN65612 WLJ65612 WVF65612 B131148 IT131148 SP131148 ACL131148 AMH131148 AWD131148 BFZ131148 BPV131148 BZR131148 CJN131148 CTJ131148 DDF131148 DNB131148 DWX131148 EGT131148 EQP131148 FAL131148 FKH131148 FUD131148 GDZ131148 GNV131148 GXR131148 HHN131148 HRJ131148 IBF131148 ILB131148 IUX131148 JET131148 JOP131148 JYL131148 KIH131148 KSD131148 LBZ131148 LLV131148 LVR131148 MFN131148 MPJ131148 MZF131148 NJB131148 NSX131148 OCT131148 OMP131148 OWL131148 PGH131148 PQD131148 PZZ131148 QJV131148 QTR131148 RDN131148 RNJ131148 RXF131148 SHB131148 SQX131148 TAT131148 TKP131148 TUL131148 UEH131148 UOD131148 UXZ131148 VHV131148 VRR131148 WBN131148 WLJ131148 WVF131148 B196684 IT196684 SP196684 ACL196684 AMH196684 AWD196684 BFZ196684 BPV196684 BZR196684 CJN196684 CTJ196684 DDF196684 DNB196684 DWX196684 EGT196684 EQP196684 FAL196684 FKH196684 FUD196684 GDZ196684 GNV196684 GXR196684 HHN196684 HRJ196684 IBF196684 ILB196684 IUX196684 JET196684 JOP196684 JYL196684 KIH196684 KSD196684 LBZ196684 LLV196684 LVR196684 MFN196684 MPJ196684 MZF196684 NJB196684 NSX196684 OCT196684 OMP196684 OWL196684 PGH196684 PQD196684 PZZ196684 QJV196684 QTR196684 RDN196684 RNJ196684 RXF196684 SHB196684 SQX196684 TAT196684 TKP196684 TUL196684 UEH196684 UOD196684 UXZ196684 VHV196684 VRR196684 WBN196684 WLJ196684 WVF196684 B262220 IT262220 SP262220 ACL262220 AMH262220 AWD262220 BFZ262220 BPV262220 BZR262220 CJN262220 CTJ262220 DDF262220 DNB262220 DWX262220 EGT262220 EQP262220 FAL262220 FKH262220 FUD262220 GDZ262220 GNV262220 GXR262220 HHN262220 HRJ262220 IBF262220 ILB262220 IUX262220 JET262220 JOP262220 JYL262220 KIH262220 KSD262220 LBZ262220 LLV262220 LVR262220 MFN262220 MPJ262220 MZF262220 NJB262220 NSX262220 OCT262220 OMP262220 OWL262220 PGH262220 PQD262220 PZZ262220 QJV262220 QTR262220 RDN262220 RNJ262220 RXF262220 SHB262220 SQX262220 TAT262220 TKP262220 TUL262220 UEH262220 UOD262220 UXZ262220 VHV262220 VRR262220 WBN262220 WLJ262220 WVF262220 B327756 IT327756 SP327756 ACL327756 AMH327756 AWD327756 BFZ327756 BPV327756 BZR327756 CJN327756 CTJ327756 DDF327756 DNB327756 DWX327756 EGT327756 EQP327756 FAL327756 FKH327756 FUD327756 GDZ327756 GNV327756 GXR327756 HHN327756 HRJ327756 IBF327756 ILB327756 IUX327756 JET327756 JOP327756 JYL327756 KIH327756 KSD327756 LBZ327756 LLV327756 LVR327756 MFN327756 MPJ327756 MZF327756 NJB327756 NSX327756 OCT327756 OMP327756 OWL327756 PGH327756 PQD327756 PZZ327756 QJV327756 QTR327756 RDN327756 RNJ327756 RXF327756 SHB327756 SQX327756 TAT327756 TKP327756 TUL327756 UEH327756 UOD327756 UXZ327756 VHV327756 VRR327756 WBN327756 WLJ327756 WVF327756 B393292 IT393292 SP393292 ACL393292 AMH393292 AWD393292 BFZ393292 BPV393292 BZR393292 CJN393292 CTJ393292 DDF393292 DNB393292 DWX393292 EGT393292 EQP393292 FAL393292 FKH393292 FUD393292 GDZ393292 GNV393292 GXR393292 HHN393292 HRJ393292 IBF393292 ILB393292 IUX393292 JET393292 JOP393292 JYL393292 KIH393292 KSD393292 LBZ393292 LLV393292 LVR393292 MFN393292 MPJ393292 MZF393292 NJB393292 NSX393292 OCT393292 OMP393292 OWL393292 PGH393292 PQD393292 PZZ393292 QJV393292 QTR393292 RDN393292 RNJ393292 RXF393292 SHB393292 SQX393292 TAT393292 TKP393292 TUL393292 UEH393292 UOD393292 UXZ393292 VHV393292 VRR393292 WBN393292 WLJ393292 WVF393292 B458828 IT458828 SP458828 ACL458828 AMH458828 AWD458828 BFZ458828 BPV458828 BZR458828 CJN458828 CTJ458828 DDF458828 DNB458828 DWX458828 EGT458828 EQP458828 FAL458828 FKH458828 FUD458828 GDZ458828 GNV458828 GXR458828 HHN458828 HRJ458828 IBF458828 ILB458828 IUX458828 JET458828 JOP458828 JYL458828 KIH458828 KSD458828 LBZ458828 LLV458828 LVR458828 MFN458828 MPJ458828 MZF458828 NJB458828 NSX458828 OCT458828 OMP458828 OWL458828 PGH458828 PQD458828 PZZ458828 QJV458828 QTR458828 RDN458828 RNJ458828 RXF458828 SHB458828 SQX458828 TAT458828 TKP458828 TUL458828 UEH458828 UOD458828 UXZ458828 VHV458828 VRR458828 WBN458828 WLJ458828 WVF458828 B524364 IT524364 SP524364 ACL524364 AMH524364 AWD524364 BFZ524364 BPV524364 BZR524364 CJN524364 CTJ524364 DDF524364 DNB524364 DWX524364 EGT524364 EQP524364 FAL524364 FKH524364 FUD524364 GDZ524364 GNV524364 GXR524364 HHN524364 HRJ524364 IBF524364 ILB524364 IUX524364 JET524364 JOP524364 JYL524364 KIH524364 KSD524364 LBZ524364 LLV524364 LVR524364 MFN524364 MPJ524364 MZF524364 NJB524364 NSX524364 OCT524364 OMP524364 OWL524364 PGH524364 PQD524364 PZZ524364 QJV524364 QTR524364 RDN524364 RNJ524364 RXF524364 SHB524364 SQX524364 TAT524364 TKP524364 TUL524364 UEH524364 UOD524364 UXZ524364 VHV524364 VRR524364 WBN524364 WLJ524364 WVF524364 B589900 IT589900 SP589900 ACL589900 AMH589900 AWD589900 BFZ589900 BPV589900 BZR589900 CJN589900 CTJ589900 DDF589900 DNB589900 DWX589900 EGT589900 EQP589900 FAL589900 FKH589900 FUD589900 GDZ589900 GNV589900 GXR589900 HHN589900 HRJ589900 IBF589900 ILB589900 IUX589900 JET589900 JOP589900 JYL589900 KIH589900 KSD589900 LBZ589900 LLV589900 LVR589900 MFN589900 MPJ589900 MZF589900 NJB589900 NSX589900 OCT589900 OMP589900 OWL589900 PGH589900 PQD589900 PZZ589900 QJV589900 QTR589900 RDN589900 RNJ589900 RXF589900 SHB589900 SQX589900 TAT589900 TKP589900 TUL589900 UEH589900 UOD589900 UXZ589900 VHV589900 VRR589900 WBN589900 WLJ589900 WVF589900 B655436 IT655436 SP655436 ACL655436 AMH655436 AWD655436 BFZ655436 BPV655436 BZR655436 CJN655436 CTJ655436 DDF655436 DNB655436 DWX655436 EGT655436 EQP655436 FAL655436 FKH655436 FUD655436 GDZ655436 GNV655436 GXR655436 HHN655436 HRJ655436 IBF655436 ILB655436 IUX655436 JET655436 JOP655436 JYL655436 KIH655436 KSD655436 LBZ655436 LLV655436 LVR655436 MFN655436 MPJ655436 MZF655436 NJB655436 NSX655436 OCT655436 OMP655436 OWL655436 PGH655436 PQD655436 PZZ655436 QJV655436 QTR655436 RDN655436 RNJ655436 RXF655436 SHB655436 SQX655436 TAT655436 TKP655436 TUL655436 UEH655436 UOD655436 UXZ655436 VHV655436 VRR655436 WBN655436 WLJ655436 WVF655436 B720972 IT720972 SP720972 ACL720972 AMH720972 AWD720972 BFZ720972 BPV720972 BZR720972 CJN720972 CTJ720972 DDF720972 DNB720972 DWX720972 EGT720972 EQP720972 FAL720972 FKH720972 FUD720972 GDZ720972 GNV720972 GXR720972 HHN720972 HRJ720972 IBF720972 ILB720972 IUX720972 JET720972 JOP720972 JYL720972 KIH720972 KSD720972 LBZ720972 LLV720972 LVR720972 MFN720972 MPJ720972 MZF720972 NJB720972 NSX720972 OCT720972 OMP720972 OWL720972 PGH720972 PQD720972 PZZ720972 QJV720972 QTR720972 RDN720972 RNJ720972 RXF720972 SHB720972 SQX720972 TAT720972 TKP720972 TUL720972 UEH720972 UOD720972 UXZ720972 VHV720972 VRR720972 WBN720972 WLJ720972 WVF720972 B786508 IT786508 SP786508 ACL786508 AMH786508 AWD786508 BFZ786508 BPV786508 BZR786508 CJN786508 CTJ786508 DDF786508 DNB786508 DWX786508 EGT786508 EQP786508 FAL786508 FKH786508 FUD786508 GDZ786508 GNV786508 GXR786508 HHN786508 HRJ786508 IBF786508 ILB786508 IUX786508 JET786508 JOP786508 JYL786508 KIH786508 KSD786508 LBZ786508 LLV786508 LVR786508 MFN786508 MPJ786508 MZF786508 NJB786508 NSX786508 OCT786508 OMP786508 OWL786508 PGH786508 PQD786508 PZZ786508 QJV786508 QTR786508 RDN786508 RNJ786508 RXF786508 SHB786508 SQX786508 TAT786508 TKP786508 TUL786508 UEH786508 UOD786508 UXZ786508 VHV786508 VRR786508 WBN786508 WLJ786508 WVF786508 B852044 IT852044 SP852044 ACL852044 AMH852044 AWD852044 BFZ852044 BPV852044 BZR852044 CJN852044 CTJ852044 DDF852044 DNB852044 DWX852044 EGT852044 EQP852044 FAL852044 FKH852044 FUD852044 GDZ852044 GNV852044 GXR852044 HHN852044 HRJ852044 IBF852044 ILB852044 IUX852044 JET852044 JOP852044 JYL852044 KIH852044 KSD852044 LBZ852044 LLV852044 LVR852044 MFN852044 MPJ852044 MZF852044 NJB852044 NSX852044 OCT852044 OMP852044 OWL852044 PGH852044 PQD852044 PZZ852044 QJV852044 QTR852044 RDN852044 RNJ852044 RXF852044 SHB852044 SQX852044 TAT852044 TKP852044 TUL852044 UEH852044 UOD852044 UXZ852044 VHV852044 VRR852044 WBN852044 WLJ852044 WVF852044 B917580 IT917580 SP917580 ACL917580 AMH917580 AWD917580 BFZ917580 BPV917580 BZR917580 CJN917580 CTJ917580 DDF917580 DNB917580 DWX917580 EGT917580 EQP917580 FAL917580 FKH917580 FUD917580 GDZ917580 GNV917580 GXR917580 HHN917580 HRJ917580 IBF917580 ILB917580 IUX917580 JET917580 JOP917580 JYL917580 KIH917580 KSD917580 LBZ917580 LLV917580 LVR917580 MFN917580 MPJ917580 MZF917580 NJB917580 NSX917580 OCT917580 OMP917580 OWL917580 PGH917580 PQD917580 PZZ917580 QJV917580 QTR917580 RDN917580 RNJ917580 RXF917580 SHB917580 SQX917580 TAT917580 TKP917580 TUL917580 UEH917580 UOD917580 UXZ917580 VHV917580 VRR917580 WBN917580 WLJ917580 WVF917580 B983116 IT983116 SP983116 ACL983116 AMH983116 AWD983116 BFZ983116 BPV983116 BZR983116 CJN983116 CTJ983116 DDF983116 DNB983116 DWX983116 EGT983116 EQP983116 FAL983116 FKH983116 FUD983116 GDZ983116 GNV983116 GXR983116 HHN983116 HRJ983116 IBF983116 ILB983116 IUX983116 JET983116 JOP983116 JYL983116 KIH983116 KSD983116 LBZ983116 LLV983116 LVR983116 MFN983116 MPJ983116 MZF983116 NJB983116 NSX983116 OCT983116 OMP983116 OWL983116 PGH983116 PQD983116 PZZ983116 QJV983116 QTR983116 RDN983116 RNJ983116 RXF983116 SHB983116 SQX983116 TAT983116 TKP983116 TUL983116 UEH983116 UOD983116 UXZ983116 VHV983116 VRR983116 WBN983116 WLJ983116 WVF983116 B87 IT87 SP87 ACL87 AMH87 AWD87 BFZ87 BPV87 BZR87 CJN87 CTJ87 DDF87 DNB87 DWX87 EGT87 EQP87 FAL87 FKH87 FUD87 GDZ87 GNV87 GXR87 HHN87 HRJ87 IBF87 ILB87 IUX87 JET87 JOP87 JYL87 KIH87 KSD87 LBZ87 LLV87 LVR87 MFN87 MPJ87 MZF87 NJB87 NSX87 OCT87 OMP87 OWL87 PGH87 PQD87 PZZ87 QJV87 QTR87 RDN87 RNJ87 RXF87 SHB87 SQX87 TAT87 TKP87 TUL87 UEH87 UOD87 UXZ87 VHV87 VRR87 WBN87 WLJ87 WVF87 B65623 IT65623 SP65623 ACL65623 AMH65623 AWD65623 BFZ65623 BPV65623 BZR65623 CJN65623 CTJ65623 DDF65623 DNB65623 DWX65623 EGT65623 EQP65623 FAL65623 FKH65623 FUD65623 GDZ65623 GNV65623 GXR65623 HHN65623 HRJ65623 IBF65623 ILB65623 IUX65623 JET65623 JOP65623 JYL65623 KIH65623 KSD65623 LBZ65623 LLV65623 LVR65623 MFN65623 MPJ65623 MZF65623 NJB65623 NSX65623 OCT65623 OMP65623 OWL65623 PGH65623 PQD65623 PZZ65623 QJV65623 QTR65623 RDN65623 RNJ65623 RXF65623 SHB65623 SQX65623 TAT65623 TKP65623 TUL65623 UEH65623 UOD65623 UXZ65623 VHV65623 VRR65623 WBN65623 WLJ65623 WVF65623 B131159 IT131159 SP131159 ACL131159 AMH131159 AWD131159 BFZ131159 BPV131159 BZR131159 CJN131159 CTJ131159 DDF131159 DNB131159 DWX131159 EGT131159 EQP131159 FAL131159 FKH131159 FUD131159 GDZ131159 GNV131159 GXR131159 HHN131159 HRJ131159 IBF131159 ILB131159 IUX131159 JET131159 JOP131159 JYL131159 KIH131159 KSD131159 LBZ131159 LLV131159 LVR131159 MFN131159 MPJ131159 MZF131159 NJB131159 NSX131159 OCT131159 OMP131159 OWL131159 PGH131159 PQD131159 PZZ131159 QJV131159 QTR131159 RDN131159 RNJ131159 RXF131159 SHB131159 SQX131159 TAT131159 TKP131159 TUL131159 UEH131159 UOD131159 UXZ131159 VHV131159 VRR131159 WBN131159 WLJ131159 WVF131159 B196695 IT196695 SP196695 ACL196695 AMH196695 AWD196695 BFZ196695 BPV196695 BZR196695 CJN196695 CTJ196695 DDF196695 DNB196695 DWX196695 EGT196695 EQP196695 FAL196695 FKH196695 FUD196695 GDZ196695 GNV196695 GXR196695 HHN196695 HRJ196695 IBF196695 ILB196695 IUX196695 JET196695 JOP196695 JYL196695 KIH196695 KSD196695 LBZ196695 LLV196695 LVR196695 MFN196695 MPJ196695 MZF196695 NJB196695 NSX196695 OCT196695 OMP196695 OWL196695 PGH196695 PQD196695 PZZ196695 QJV196695 QTR196695 RDN196695 RNJ196695 RXF196695 SHB196695 SQX196695 TAT196695 TKP196695 TUL196695 UEH196695 UOD196695 UXZ196695 VHV196695 VRR196695 WBN196695 WLJ196695 WVF196695 B262231 IT262231 SP262231 ACL262231 AMH262231 AWD262231 BFZ262231 BPV262231 BZR262231 CJN262231 CTJ262231 DDF262231 DNB262231 DWX262231 EGT262231 EQP262231 FAL262231 FKH262231 FUD262231 GDZ262231 GNV262231 GXR262231 HHN262231 HRJ262231 IBF262231 ILB262231 IUX262231 JET262231 JOP262231 JYL262231 KIH262231 KSD262231 LBZ262231 LLV262231 LVR262231 MFN262231 MPJ262231 MZF262231 NJB262231 NSX262231 OCT262231 OMP262231 OWL262231 PGH262231 PQD262231 PZZ262231 QJV262231 QTR262231 RDN262231 RNJ262231 RXF262231 SHB262231 SQX262231 TAT262231 TKP262231 TUL262231 UEH262231 UOD262231 UXZ262231 VHV262231 VRR262231 WBN262231 WLJ262231 WVF262231 B327767 IT327767 SP327767 ACL327767 AMH327767 AWD327767 BFZ327767 BPV327767 BZR327767 CJN327767 CTJ327767 DDF327767 DNB327767 DWX327767 EGT327767 EQP327767 FAL327767 FKH327767 FUD327767 GDZ327767 GNV327767 GXR327767 HHN327767 HRJ327767 IBF327767 ILB327767 IUX327767 JET327767 JOP327767 JYL327767 KIH327767 KSD327767 LBZ327767 LLV327767 LVR327767 MFN327767 MPJ327767 MZF327767 NJB327767 NSX327767 OCT327767 OMP327767 OWL327767 PGH327767 PQD327767 PZZ327767 QJV327767 QTR327767 RDN327767 RNJ327767 RXF327767 SHB327767 SQX327767 TAT327767 TKP327767 TUL327767 UEH327767 UOD327767 UXZ327767 VHV327767 VRR327767 WBN327767 WLJ327767 WVF327767 B393303 IT393303 SP393303 ACL393303 AMH393303 AWD393303 BFZ393303 BPV393303 BZR393303 CJN393303 CTJ393303 DDF393303 DNB393303 DWX393303 EGT393303 EQP393303 FAL393303 FKH393303 FUD393303 GDZ393303 GNV393303 GXR393303 HHN393303 HRJ393303 IBF393303 ILB393303 IUX393303 JET393303 JOP393303 JYL393303 KIH393303 KSD393303 LBZ393303 LLV393303 LVR393303 MFN393303 MPJ393303 MZF393303 NJB393303 NSX393303 OCT393303 OMP393303 OWL393303 PGH393303 PQD393303 PZZ393303 QJV393303 QTR393303 RDN393303 RNJ393303 RXF393303 SHB393303 SQX393303 TAT393303 TKP393303 TUL393303 UEH393303 UOD393303 UXZ393303 VHV393303 VRR393303 WBN393303 WLJ393303 WVF393303 B458839 IT458839 SP458839 ACL458839 AMH458839 AWD458839 BFZ458839 BPV458839 BZR458839 CJN458839 CTJ458839 DDF458839 DNB458839 DWX458839 EGT458839 EQP458839 FAL458839 FKH458839 FUD458839 GDZ458839 GNV458839 GXR458839 HHN458839 HRJ458839 IBF458839 ILB458839 IUX458839 JET458839 JOP458839 JYL458839 KIH458839 KSD458839 LBZ458839 LLV458839 LVR458839 MFN458839 MPJ458839 MZF458839 NJB458839 NSX458839 OCT458839 OMP458839 OWL458839 PGH458839 PQD458839 PZZ458839 QJV458839 QTR458839 RDN458839 RNJ458839 RXF458839 SHB458839 SQX458839 TAT458839 TKP458839 TUL458839 UEH458839 UOD458839 UXZ458839 VHV458839 VRR458839 WBN458839 WLJ458839 WVF458839 B524375 IT524375 SP524375 ACL524375 AMH524375 AWD524375 BFZ524375 BPV524375 BZR524375 CJN524375 CTJ524375 DDF524375 DNB524375 DWX524375 EGT524375 EQP524375 FAL524375 FKH524375 FUD524375 GDZ524375 GNV524375 GXR524375 HHN524375 HRJ524375 IBF524375 ILB524375 IUX524375 JET524375 JOP524375 JYL524375 KIH524375 KSD524375 LBZ524375 LLV524375 LVR524375 MFN524375 MPJ524375 MZF524375 NJB524375 NSX524375 OCT524375 OMP524375 OWL524375 PGH524375 PQD524375 PZZ524375 QJV524375 QTR524375 RDN524375 RNJ524375 RXF524375 SHB524375 SQX524375 TAT524375 TKP524375 TUL524375 UEH524375 UOD524375 UXZ524375 VHV524375 VRR524375 WBN524375 WLJ524375 WVF524375 B589911 IT589911 SP589911 ACL589911 AMH589911 AWD589911 BFZ589911 BPV589911 BZR589911 CJN589911 CTJ589911 DDF589911 DNB589911 DWX589911 EGT589911 EQP589911 FAL589911 FKH589911 FUD589911 GDZ589911 GNV589911 GXR589911 HHN589911 HRJ589911 IBF589911 ILB589911 IUX589911 JET589911 JOP589911 JYL589911 KIH589911 KSD589911 LBZ589911 LLV589911 LVR589911 MFN589911 MPJ589911 MZF589911 NJB589911 NSX589911 OCT589911 OMP589911 OWL589911 PGH589911 PQD589911 PZZ589911 QJV589911 QTR589911 RDN589911 RNJ589911 RXF589911 SHB589911 SQX589911 TAT589911 TKP589911 TUL589911 UEH589911 UOD589911 UXZ589911 VHV589911 VRR589911 WBN589911 WLJ589911 WVF589911 B655447 IT655447 SP655447 ACL655447 AMH655447 AWD655447 BFZ655447 BPV655447 BZR655447 CJN655447 CTJ655447 DDF655447 DNB655447 DWX655447 EGT655447 EQP655447 FAL655447 FKH655447 FUD655447 GDZ655447 GNV655447 GXR655447 HHN655447 HRJ655447 IBF655447 ILB655447 IUX655447 JET655447 JOP655447 JYL655447 KIH655447 KSD655447 LBZ655447 LLV655447 LVR655447 MFN655447 MPJ655447 MZF655447 NJB655447 NSX655447 OCT655447 OMP655447 OWL655447 PGH655447 PQD655447 PZZ655447 QJV655447 QTR655447 RDN655447 RNJ655447 RXF655447 SHB655447 SQX655447 TAT655447 TKP655447 TUL655447 UEH655447 UOD655447 UXZ655447 VHV655447 VRR655447 WBN655447 WLJ655447 WVF655447 B720983 IT720983 SP720983 ACL720983 AMH720983 AWD720983 BFZ720983 BPV720983 BZR720983 CJN720983 CTJ720983 DDF720983 DNB720983 DWX720983 EGT720983 EQP720983 FAL720983 FKH720983 FUD720983 GDZ720983 GNV720983 GXR720983 HHN720983 HRJ720983 IBF720983 ILB720983 IUX720983 JET720983 JOP720983 JYL720983 KIH720983 KSD720983 LBZ720983 LLV720983 LVR720983 MFN720983 MPJ720983 MZF720983 NJB720983 NSX720983 OCT720983 OMP720983 OWL720983 PGH720983 PQD720983 PZZ720983 QJV720983 QTR720983 RDN720983 RNJ720983 RXF720983 SHB720983 SQX720983 TAT720983 TKP720983 TUL720983 UEH720983 UOD720983 UXZ720983 VHV720983 VRR720983 WBN720983 WLJ720983 WVF720983 B786519 IT786519 SP786519 ACL786519 AMH786519 AWD786519 BFZ786519 BPV786519 BZR786519 CJN786519 CTJ786519 DDF786519 DNB786519 DWX786519 EGT786519 EQP786519 FAL786519 FKH786519 FUD786519 GDZ786519 GNV786519 GXR786519 HHN786519 HRJ786519 IBF786519 ILB786519 IUX786519 JET786519 JOP786519 JYL786519 KIH786519 KSD786519 LBZ786519 LLV786519 LVR786519 MFN786519 MPJ786519 MZF786519 NJB786519 NSX786519 OCT786519 OMP786519 OWL786519 PGH786519 PQD786519 PZZ786519 QJV786519 QTR786519 RDN786519 RNJ786519 RXF786519 SHB786519 SQX786519 TAT786519 TKP786519 TUL786519 UEH786519 UOD786519 UXZ786519 VHV786519 VRR786519 WBN786519 WLJ786519 WVF786519 B852055 IT852055 SP852055 ACL852055 AMH852055 AWD852055 BFZ852055 BPV852055 BZR852055 CJN852055 CTJ852055 DDF852055 DNB852055 DWX852055 EGT852055 EQP852055 FAL852055 FKH852055 FUD852055 GDZ852055 GNV852055 GXR852055 HHN852055 HRJ852055 IBF852055 ILB852055 IUX852055 JET852055 JOP852055 JYL852055 KIH852055 KSD852055 LBZ852055 LLV852055 LVR852055 MFN852055 MPJ852055 MZF852055 NJB852055 NSX852055 OCT852055 OMP852055 OWL852055 PGH852055 PQD852055 PZZ852055 QJV852055 QTR852055 RDN852055 RNJ852055 RXF852055 SHB852055 SQX852055 TAT852055 TKP852055 TUL852055 UEH852055 UOD852055 UXZ852055 VHV852055 VRR852055 WBN852055 WLJ852055 WVF852055 B917591 IT917591 SP917591 ACL917591 AMH917591 AWD917591 BFZ917591 BPV917591 BZR917591 CJN917591 CTJ917591 DDF917591 DNB917591 DWX917591 EGT917591 EQP917591 FAL917591 FKH917591 FUD917591 GDZ917591 GNV917591 GXR917591 HHN917591 HRJ917591 IBF917591 ILB917591 IUX917591 JET917591 JOP917591 JYL917591 KIH917591 KSD917591 LBZ917591 LLV917591 LVR917591 MFN917591 MPJ917591 MZF917591 NJB917591 NSX917591 OCT917591 OMP917591 OWL917591 PGH917591 PQD917591 PZZ917591 QJV917591 QTR917591 RDN917591 RNJ917591 RXF917591 SHB917591 SQX917591 TAT917591 TKP917591 TUL917591 UEH917591 UOD917591 UXZ917591 VHV917591 VRR917591 WBN917591 WLJ917591 WVF917591 B983127 IT983127 SP983127 ACL983127 AMH983127 AWD983127 BFZ983127 BPV983127 BZR983127 CJN983127 CTJ983127 DDF983127 DNB983127 DWX983127 EGT983127 EQP983127 FAL983127 FKH983127 FUD983127 GDZ983127 GNV983127 GXR983127 HHN983127 HRJ983127 IBF983127 ILB983127 IUX983127 JET983127 JOP983127 JYL983127 KIH983127 KSD983127 LBZ983127 LLV983127 LVR983127 MFN983127 MPJ983127 MZF983127 NJB983127 NSX983127 OCT983127 OMP983127 OWL983127 PGH983127 PQD983127 PZZ983127 QJV983127 QTR983127 RDN983127 RNJ983127 RXF983127 SHB983127 SQX983127 TAT983127 TKP983127 TUL983127 UEH983127 UOD983127 UXZ983127 VHV983127 VRR983127 WBN983127 WLJ983127 WVF983127" xr:uid="{6C25A9BB-DC10-7045-B0D6-EE830CEB411A}">
      <formula1>#REF!</formula1>
    </dataValidation>
  </dataValidations>
  <hyperlinks>
    <hyperlink ref="O9" r:id="rId1" xr:uid="{B782E7E5-574F-6247-AD4B-AE9C57820313}"/>
    <hyperlink ref="O21" r:id="rId2" display="http://www.tverfin.ru/np-baza/regionalnye-normativnye-pravovye-akty/ " xr:uid="{FD8DF151-E99F-A547-AE2B-E328E0035040}"/>
    <hyperlink ref="O11" r:id="rId3" xr:uid="{D7212FD6-3A21-454C-95CF-A18AF502574E}"/>
    <hyperlink ref="P16" r:id="rId4" xr:uid="{11F84274-DD95-F54B-B473-AF1E13C505A8}"/>
    <hyperlink ref="O15" r:id="rId5" xr:uid="{5F4599A5-07A0-454D-B919-913D418F3C7C}"/>
    <hyperlink ref="O16" r:id="rId6" display="http://mef.mosreg.ru " xr:uid="{2758A8DA-29D5-CA4C-B18D-858D5E4A8728}"/>
    <hyperlink ref="O17" r:id="rId7" xr:uid="{40511BAF-7E73-EF4D-AF7A-33F165C16B40}"/>
    <hyperlink ref="P17" r:id="rId8" display="http://depfin.orel-region.ru:8096/ebudget/Menu/Page/36" xr:uid="{0F908101-7259-CA41-A492-42140EFBCB5F}"/>
    <hyperlink ref="O22" r:id="rId9" xr:uid="{36304066-CBBD-DA44-8759-FCFA1BA37F24}"/>
    <hyperlink ref="O23" r:id="rId10" xr:uid="{AFB8A639-5DF9-564E-873D-1BB03C12A438}"/>
    <hyperlink ref="O24" r:id="rId11" display="https://www.mos.ru/findep/ " xr:uid="{30D87DF8-467B-AF4B-9BAB-80E89C42E529}"/>
    <hyperlink ref="O28" r:id="rId12" xr:uid="{48342587-1FB7-5848-A8D7-1F1EA9775CC6}"/>
    <hyperlink ref="O30" r:id="rId13" xr:uid="{1B7394A2-2D13-0B4D-9214-16B34F541AB4}"/>
    <hyperlink ref="O32" r:id="rId14" xr:uid="{0B823AE9-BB56-0746-AF5F-AAC453FF1B5A}"/>
    <hyperlink ref="P34" r:id="rId15" display="http://bks.pskov.ru/ebudget/Show/Category/10?ItemId=257" xr:uid="{E182804F-4638-A943-83F0-34AD78640E87}"/>
    <hyperlink ref="O36" r:id="rId16" xr:uid="{D0CF1C94-F563-1948-BC77-ECFBF990E56F}"/>
    <hyperlink ref="O47" r:id="rId17" xr:uid="{57AD1A09-0045-4641-9F67-DBA15EA9C640}"/>
    <hyperlink ref="O53" r:id="rId18" xr:uid="{73FBECE7-736F-F648-8FF3-879BB696C7A7}"/>
    <hyperlink ref="O63" r:id="rId19" xr:uid="{319958AD-5105-9243-A5BE-FE494C16DECF}"/>
    <hyperlink ref="O65" r:id="rId20" xr:uid="{5FB4C691-A00A-8146-ADA6-2FE95FF4C6CA}"/>
    <hyperlink ref="O68" r:id="rId21" display="http://ufo.ulntc.ru/index.php?mgf=budget/open_budget&amp;slep=net" xr:uid="{12A8183F-6AEF-8D42-873D-BAA1F4452BE5}"/>
    <hyperlink ref="O71" r:id="rId22" location="document_list" xr:uid="{EE992F8F-F5FF-4F44-86D1-CD1FD7EEB311}"/>
    <hyperlink ref="O73" r:id="rId23" xr:uid="{F68052A6-0B39-924F-BBE3-B8F055DF1548}"/>
    <hyperlink ref="O81" r:id="rId24" xr:uid="{BAEB4582-89D7-9949-8BAB-D07785AC08E5}"/>
    <hyperlink ref="O84" r:id="rId25" xr:uid="{F23F9D6F-ED57-6B43-BD8A-38029A236695}"/>
    <hyperlink ref="O90" r:id="rId26" xr:uid="{4D503AD8-2CAC-D74D-B10A-AE4B40A595D3}"/>
    <hyperlink ref="O92" r:id="rId27" xr:uid="{B9B02813-34E2-E44B-BA64-B6C1F71B2BDF}"/>
    <hyperlink ref="O94" r:id="rId28" display="https://www.fin.amurobl.ru/pages/normativno-pravovye-akty/regionalnyy-uroven/zakony-ao/" xr:uid="{8F9B1495-50D5-3248-8A99-9D151F925A2B}"/>
    <hyperlink ref="O95" r:id="rId29" display="https://minfin.49gov.ru/documents/" xr:uid="{36E19F5B-11D3-3043-9CAE-67BB1543E392}"/>
    <hyperlink ref="O96" r:id="rId30" display="http://sakhminfin.ru/" xr:uid="{27770A11-1EA8-0546-93D8-474A4DCD035D}"/>
    <hyperlink ref="O98" r:id="rId31" xr:uid="{3310C945-58DB-1243-BE96-4FABB1A6D9BF}"/>
    <hyperlink ref="O18" r:id="rId32" xr:uid="{EE89431E-2A93-AE4F-A1A4-4A4A49E98EE3}"/>
    <hyperlink ref="O50" r:id="rId33" xr:uid="{D30A51E7-F09A-0C43-9A17-320A148C98D5}"/>
    <hyperlink ref="P52" r:id="rId34" display="http://forcitizens.ru/ob/dokumenty/zakon-o-byudzhete/2022-god" xr:uid="{670D446A-1E87-814F-8A0A-65D94B8674C6}"/>
    <hyperlink ref="O62" r:id="rId35" display="http://www.minfin.kirov.ru/otkrytyy-byudzhet/dlya-spetsialistov/oblastnoy-byudzhet/%d0%9f%d0%bb%d0%b0%d0%bd%d0%b8%d1%80%d0%be%d0%b2%d0%b0%d0%bd%d0%b8%d0%b5%20%d0%b1%d1%8e%d0%b4%d0%b6%d0%b5%d1%82%d0%b0/" xr:uid="{DBF225ED-4FF8-8043-9BB6-8CA6D576E05E}"/>
    <hyperlink ref="O67" r:id="rId36" display="http://saratov.gov.ru/gov/auth/minfin/" xr:uid="{1FF0C20E-02BB-DB47-9895-B1EBDB79EE1B}"/>
    <hyperlink ref="O82" r:id="rId37" xr:uid="{430F9B7A-BA7A-7F4C-80E3-17226E3EE691}"/>
    <hyperlink ref="O7" r:id="rId38" xr:uid="{C39B2116-79F5-E743-B7DF-5E9460558A57}"/>
    <hyperlink ref="O10" r:id="rId39" xr:uid="{AEA23AC1-9570-034F-985C-6A342FAF0CE9}"/>
    <hyperlink ref="O13" r:id="rId40" xr:uid="{9AC20E42-90AD-8848-A6B1-710D87D62B6F}"/>
    <hyperlink ref="O14" r:id="rId41" xr:uid="{DD3DADAB-7C29-E849-B72D-D0DE03BEEAFB}"/>
    <hyperlink ref="O19" r:id="rId42" xr:uid="{08935E93-10E5-2746-8920-EA65EE0905A5}"/>
    <hyperlink ref="P21" r:id="rId43" xr:uid="{1FDCE6D5-B487-D44E-949E-86E5C30FD1BF}"/>
    <hyperlink ref="P24" r:id="rId44" xr:uid="{E52AE192-8F29-794A-9924-2F14FD38DE24}"/>
    <hyperlink ref="O26" r:id="rId45" xr:uid="{C48CFD32-1D1A-1F42-9397-A7EF462EB701}"/>
    <hyperlink ref="O27" r:id="rId46" xr:uid="{20DBDB68-8B93-A446-A199-0A050CFA616B}"/>
    <hyperlink ref="O29" r:id="rId47" xr:uid="{BB171DD6-94DC-2E48-AFC5-B8D52CAD0272}"/>
    <hyperlink ref="O31" r:id="rId48" xr:uid="{782AFE18-2846-B64D-90B1-BE8B50AB6A0D}"/>
    <hyperlink ref="O35" r:id="rId49" xr:uid="{F723662C-BDAC-1842-882E-B101CFEE868F}"/>
    <hyperlink ref="O39" r:id="rId50" xr:uid="{650F9CB8-E90A-CE4C-A061-84FB9648528F}"/>
    <hyperlink ref="O38" r:id="rId51" xr:uid="{8CF423B0-9BB8-6D4D-940C-33F49D6FB4D2}"/>
    <hyperlink ref="O40" r:id="rId52" xr:uid="{F07EC956-74E4-C742-9FF7-130A39D29C81}"/>
    <hyperlink ref="O41" r:id="rId53" xr:uid="{6255B344-71A5-9740-9255-07B0CD7DB854}"/>
    <hyperlink ref="O44" r:id="rId54" xr:uid="{ADD801ED-5873-504A-A85D-CEEE37767EB4}"/>
    <hyperlink ref="O45" r:id="rId55" display="https://fin.sev.gov.ru/pravovye-aktu/regionalnye-npa/regionalnye-npa-2021/" xr:uid="{A738744E-A880-4941-94D1-8E8D58440F82}"/>
    <hyperlink ref="P45" r:id="rId56" xr:uid="{99737759-2C33-274B-B923-96ABA60BF427}"/>
    <hyperlink ref="O49" r:id="rId57" xr:uid="{A585F04D-892D-574C-8728-80958B939E13}"/>
    <hyperlink ref="O51" r:id="rId58" xr:uid="{ABDCF4DE-F534-B943-8173-5D4D41C72448}"/>
    <hyperlink ref="O52" r:id="rId59" display="https://www.minfinchr.ru/deyatelnost/byudzhet/planirovanie-byudzheta" xr:uid="{92F99FB4-4CF4-134D-BDE1-F14A74D40E23}"/>
    <hyperlink ref="O55" r:id="rId60" xr:uid="{71EE91C2-7154-8342-BB1E-9A433B614A3D}"/>
    <hyperlink ref="O57" r:id="rId61" xr:uid="{D17E691E-73E6-5E41-AB20-A75AA1019A71}"/>
    <hyperlink ref="O58" r:id="rId62" xr:uid="{827F31B0-14F4-2446-9679-5DA9E3DC2DFD}"/>
    <hyperlink ref="O59" r:id="rId63" xr:uid="{FB7B04F8-4DB4-F148-8EB8-6065A1E472F2}"/>
    <hyperlink ref="O60" r:id="rId64" xr:uid="{346E3775-9126-B649-A74D-D98A83959989}"/>
    <hyperlink ref="O61" r:id="rId65" xr:uid="{C1EA1C14-AB91-EB49-83D2-6BD00807FC42}"/>
    <hyperlink ref="O66" r:id="rId66" xr:uid="{071E1C3C-297B-1641-BA34-846DAEF9B50B}"/>
    <hyperlink ref="P67" r:id="rId67" xr:uid="{ACAEEA1C-3698-1246-8AA5-FF10AE34FE57}"/>
    <hyperlink ref="P68" r:id="rId68" xr:uid="{658BAC38-B7D4-3945-855E-73E01C6F06F6}"/>
    <hyperlink ref="O70" r:id="rId69" xr:uid="{941BC9FA-8483-FC44-87EC-446BEB5384D6}"/>
    <hyperlink ref="O72" r:id="rId70" xr:uid="{BAA0CA01-CA1A-0644-B38C-B3AE8F0EB12F}"/>
    <hyperlink ref="O74" display="https://depfin.admhmao.ru/otkrytyy-byudzhet/planirovanie-byudzheta/zakony-o-byudzhete-avtonomnogo-okruga/na-2023-god-i-na-planovyy-period-2024-i-2025-godov/8165215/zakon-khanty-mansiyskogo-avtonomnogo-okruga-yugry-ot-24-11-2022-goda-132-oz-o-byudzhete-kha" xr:uid="{05CC93D2-2C57-F44E-A20E-19D5E9AD0E22}"/>
    <hyperlink ref="O75" r:id="rId71" xr:uid="{4D1C677A-0D0A-4D44-A77F-C0FA691D89A4}"/>
    <hyperlink ref="O77" r:id="rId72" xr:uid="{C6C68F57-4057-1F42-B7A9-00BDF66A1F50}"/>
    <hyperlink ref="O78" r:id="rId73" xr:uid="{F5B76EE7-DA79-DB48-8A8C-E2C3F73DCB1C}"/>
    <hyperlink ref="O79" r:id="rId74" xr:uid="{9045F401-CE56-874B-823F-D81306A01A81}"/>
    <hyperlink ref="O80" r:id="rId75" xr:uid="{815CE2F8-8082-A646-8FC8-798E0DF25CAC}"/>
    <hyperlink ref="O83" r:id="rId76" xr:uid="{64CB425C-A345-4D45-A3F2-9E3517EC289C}"/>
    <hyperlink ref="O85" r:id="rId77" xr:uid="{6A3B7812-14EB-414A-8ED0-A26140CB7BE3}"/>
    <hyperlink ref="O86" r:id="rId78" xr:uid="{31D1F896-CA9E-8D42-9225-5852F5BF6334}"/>
    <hyperlink ref="O88" r:id="rId79" xr:uid="{20A808EB-3F04-C140-81FF-C4C3D96FC731}"/>
    <hyperlink ref="O89" r:id="rId80" xr:uid="{6D7E9D8C-3403-874C-ABAC-B274B495C5BF}"/>
    <hyperlink ref="O91" r:id="rId81" xr:uid="{190F0A26-BDA0-0646-B152-7C508D03584D}"/>
    <hyperlink ref="O93" r:id="rId82" xr:uid="{6B024D30-2F26-6446-9066-24E102D7CFE6}"/>
    <hyperlink ref="P94" r:id="rId83" xr:uid="{713CEF5C-0C92-CC49-B7A0-A02E2599C5BB}"/>
    <hyperlink ref="P95" r:id="rId84" location="209-2023-god" xr:uid="{CD896E1E-D3FB-AA48-A85B-A71F20DF119D}"/>
    <hyperlink ref="P96" r:id="rId85" xr:uid="{1A4F6D1A-5844-F044-BA9F-B0615E8B3392}"/>
    <hyperlink ref="O56" r:id="rId86" xr:uid="{B485CEA5-13E4-194D-BF35-633155302548}"/>
    <hyperlink ref="P82" r:id="rId87" xr:uid="{A8278568-C819-364C-8E13-BD138BB50021}"/>
    <hyperlink ref="P64" r:id="rId88" display="http://budget.orb.ru/" xr:uid="{20BC7503-5D1E-3D49-8441-86A629A268FD}"/>
    <hyperlink ref="O33" r:id="rId89" xr:uid="{80B33AEA-CDFD-2941-9D45-5BFFA679C0D8}"/>
    <hyperlink ref="P40" r:id="rId90" display="https://budget.rk.ifinmon.ru/dokumenty/zakon-o-byudzhete" xr:uid="{F994A899-0450-6848-BC5F-41E9298A28DB}"/>
    <hyperlink ref="O42" r:id="rId91" xr:uid="{EA657591-647E-3144-B7E6-992F05BE4837}"/>
    <hyperlink ref="P47" r:id="rId92" display="http://portal.minfinrd.ru/Menu/Page/1128" xr:uid="{B49F2600-2361-9047-BF60-BF13A3656EC7}"/>
    <hyperlink ref="O48" r:id="rId93" xr:uid="{608695A9-B026-EC43-83BF-9621CE509B76}"/>
    <hyperlink ref="P60" r:id="rId94" xr:uid="{D62467A9-8049-1C49-967B-9E52CF8E7916}"/>
    <hyperlink ref="P61" r:id="rId95" xr:uid="{80A6004C-A6A7-0147-8E92-334C6E7FD7FF}"/>
    <hyperlink ref="O64" r:id="rId96" xr:uid="{CDF69259-F356-F14B-B314-EBD4CD4BBA03}"/>
    <hyperlink ref="O97" r:id="rId97" xr:uid="{9F2A33E7-D856-3C4E-B819-5F67858A0A4F}"/>
    <hyperlink ref="P8" r:id="rId98" xr:uid="{64B046F9-AC12-F340-A527-B550F2BC4822}"/>
  </hyperlinks>
  <pageMargins left="0.95866141699999996" right="0.95866141699999996" top="0.99803149599999996" bottom="1.2480314960000001" header="0.31496062992126" footer="0.31496062992126"/>
  <pageSetup paperSize="9" scale="70" fitToHeight="3" orientation="landscape"/>
  <headerFooter>
    <oddFooter>&amp;C&amp;A&amp;R&amp;P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428BE51-B63D-5D49-BE46-CA54217AA97D}">
          <x14:formula1>
            <xm:f>$B$4:$B$5</xm:f>
          </x14:formula1>
          <xm:sqref>B47:B53 IT47:IT53 SP47:SP53 ACL47:ACL53 AMH47:AMH53 AWD47:AWD53 BFZ47:BFZ53 BPV47:BPV53 BZR47:BZR53 CJN47:CJN53 CTJ47:CTJ53 DDF47:DDF53 DNB47:DNB53 DWX47:DWX53 EGT47:EGT53 EQP47:EQP53 FAL47:FAL53 FKH47:FKH53 FUD47:FUD53 GDZ47:GDZ53 GNV47:GNV53 GXR47:GXR53 HHN47:HHN53 HRJ47:HRJ53 IBF47:IBF53 ILB47:ILB53 IUX47:IUX53 JET47:JET53 JOP47:JOP53 JYL47:JYL53 KIH47:KIH53 KSD47:KSD53 LBZ47:LBZ53 LLV47:LLV53 LVR47:LVR53 MFN47:MFN53 MPJ47:MPJ53 MZF47:MZF53 NJB47:NJB53 NSX47:NSX53 OCT47:OCT53 OMP47:OMP53 OWL47:OWL53 PGH47:PGH53 PQD47:PQD53 PZZ47:PZZ53 QJV47:QJV53 QTR47:QTR53 RDN47:RDN53 RNJ47:RNJ53 RXF47:RXF53 SHB47:SHB53 SQX47:SQX53 TAT47:TAT53 TKP47:TKP53 TUL47:TUL53 UEH47:UEH53 UOD47:UOD53 UXZ47:UXZ53 VHV47:VHV53 VRR47:VRR53 WBN47:WBN53 WLJ47:WLJ53 WVF47:WVF53 B65583:B65589 IT65583:IT65589 SP65583:SP65589 ACL65583:ACL65589 AMH65583:AMH65589 AWD65583:AWD65589 BFZ65583:BFZ65589 BPV65583:BPV65589 BZR65583:BZR65589 CJN65583:CJN65589 CTJ65583:CTJ65589 DDF65583:DDF65589 DNB65583:DNB65589 DWX65583:DWX65589 EGT65583:EGT65589 EQP65583:EQP65589 FAL65583:FAL65589 FKH65583:FKH65589 FUD65583:FUD65589 GDZ65583:GDZ65589 GNV65583:GNV65589 GXR65583:GXR65589 HHN65583:HHN65589 HRJ65583:HRJ65589 IBF65583:IBF65589 ILB65583:ILB65589 IUX65583:IUX65589 JET65583:JET65589 JOP65583:JOP65589 JYL65583:JYL65589 KIH65583:KIH65589 KSD65583:KSD65589 LBZ65583:LBZ65589 LLV65583:LLV65589 LVR65583:LVR65589 MFN65583:MFN65589 MPJ65583:MPJ65589 MZF65583:MZF65589 NJB65583:NJB65589 NSX65583:NSX65589 OCT65583:OCT65589 OMP65583:OMP65589 OWL65583:OWL65589 PGH65583:PGH65589 PQD65583:PQD65589 PZZ65583:PZZ65589 QJV65583:QJV65589 QTR65583:QTR65589 RDN65583:RDN65589 RNJ65583:RNJ65589 RXF65583:RXF65589 SHB65583:SHB65589 SQX65583:SQX65589 TAT65583:TAT65589 TKP65583:TKP65589 TUL65583:TUL65589 UEH65583:UEH65589 UOD65583:UOD65589 UXZ65583:UXZ65589 VHV65583:VHV65589 VRR65583:VRR65589 WBN65583:WBN65589 WLJ65583:WLJ65589 WVF65583:WVF65589 B131119:B131125 IT131119:IT131125 SP131119:SP131125 ACL131119:ACL131125 AMH131119:AMH131125 AWD131119:AWD131125 BFZ131119:BFZ131125 BPV131119:BPV131125 BZR131119:BZR131125 CJN131119:CJN131125 CTJ131119:CTJ131125 DDF131119:DDF131125 DNB131119:DNB131125 DWX131119:DWX131125 EGT131119:EGT131125 EQP131119:EQP131125 FAL131119:FAL131125 FKH131119:FKH131125 FUD131119:FUD131125 GDZ131119:GDZ131125 GNV131119:GNV131125 GXR131119:GXR131125 HHN131119:HHN131125 HRJ131119:HRJ131125 IBF131119:IBF131125 ILB131119:ILB131125 IUX131119:IUX131125 JET131119:JET131125 JOP131119:JOP131125 JYL131119:JYL131125 KIH131119:KIH131125 KSD131119:KSD131125 LBZ131119:LBZ131125 LLV131119:LLV131125 LVR131119:LVR131125 MFN131119:MFN131125 MPJ131119:MPJ131125 MZF131119:MZF131125 NJB131119:NJB131125 NSX131119:NSX131125 OCT131119:OCT131125 OMP131119:OMP131125 OWL131119:OWL131125 PGH131119:PGH131125 PQD131119:PQD131125 PZZ131119:PZZ131125 QJV131119:QJV131125 QTR131119:QTR131125 RDN131119:RDN131125 RNJ131119:RNJ131125 RXF131119:RXF131125 SHB131119:SHB131125 SQX131119:SQX131125 TAT131119:TAT131125 TKP131119:TKP131125 TUL131119:TUL131125 UEH131119:UEH131125 UOD131119:UOD131125 UXZ131119:UXZ131125 VHV131119:VHV131125 VRR131119:VRR131125 WBN131119:WBN131125 WLJ131119:WLJ131125 WVF131119:WVF131125 B196655:B196661 IT196655:IT196661 SP196655:SP196661 ACL196655:ACL196661 AMH196655:AMH196661 AWD196655:AWD196661 BFZ196655:BFZ196661 BPV196655:BPV196661 BZR196655:BZR196661 CJN196655:CJN196661 CTJ196655:CTJ196661 DDF196655:DDF196661 DNB196655:DNB196661 DWX196655:DWX196661 EGT196655:EGT196661 EQP196655:EQP196661 FAL196655:FAL196661 FKH196655:FKH196661 FUD196655:FUD196661 GDZ196655:GDZ196661 GNV196655:GNV196661 GXR196655:GXR196661 HHN196655:HHN196661 HRJ196655:HRJ196661 IBF196655:IBF196661 ILB196655:ILB196661 IUX196655:IUX196661 JET196655:JET196661 JOP196655:JOP196661 JYL196655:JYL196661 KIH196655:KIH196661 KSD196655:KSD196661 LBZ196655:LBZ196661 LLV196655:LLV196661 LVR196655:LVR196661 MFN196655:MFN196661 MPJ196655:MPJ196661 MZF196655:MZF196661 NJB196655:NJB196661 NSX196655:NSX196661 OCT196655:OCT196661 OMP196655:OMP196661 OWL196655:OWL196661 PGH196655:PGH196661 PQD196655:PQD196661 PZZ196655:PZZ196661 QJV196655:QJV196661 QTR196655:QTR196661 RDN196655:RDN196661 RNJ196655:RNJ196661 RXF196655:RXF196661 SHB196655:SHB196661 SQX196655:SQX196661 TAT196655:TAT196661 TKP196655:TKP196661 TUL196655:TUL196661 UEH196655:UEH196661 UOD196655:UOD196661 UXZ196655:UXZ196661 VHV196655:VHV196661 VRR196655:VRR196661 WBN196655:WBN196661 WLJ196655:WLJ196661 WVF196655:WVF196661 B262191:B262197 IT262191:IT262197 SP262191:SP262197 ACL262191:ACL262197 AMH262191:AMH262197 AWD262191:AWD262197 BFZ262191:BFZ262197 BPV262191:BPV262197 BZR262191:BZR262197 CJN262191:CJN262197 CTJ262191:CTJ262197 DDF262191:DDF262197 DNB262191:DNB262197 DWX262191:DWX262197 EGT262191:EGT262197 EQP262191:EQP262197 FAL262191:FAL262197 FKH262191:FKH262197 FUD262191:FUD262197 GDZ262191:GDZ262197 GNV262191:GNV262197 GXR262191:GXR262197 HHN262191:HHN262197 HRJ262191:HRJ262197 IBF262191:IBF262197 ILB262191:ILB262197 IUX262191:IUX262197 JET262191:JET262197 JOP262191:JOP262197 JYL262191:JYL262197 KIH262191:KIH262197 KSD262191:KSD262197 LBZ262191:LBZ262197 LLV262191:LLV262197 LVR262191:LVR262197 MFN262191:MFN262197 MPJ262191:MPJ262197 MZF262191:MZF262197 NJB262191:NJB262197 NSX262191:NSX262197 OCT262191:OCT262197 OMP262191:OMP262197 OWL262191:OWL262197 PGH262191:PGH262197 PQD262191:PQD262197 PZZ262191:PZZ262197 QJV262191:QJV262197 QTR262191:QTR262197 RDN262191:RDN262197 RNJ262191:RNJ262197 RXF262191:RXF262197 SHB262191:SHB262197 SQX262191:SQX262197 TAT262191:TAT262197 TKP262191:TKP262197 TUL262191:TUL262197 UEH262191:UEH262197 UOD262191:UOD262197 UXZ262191:UXZ262197 VHV262191:VHV262197 VRR262191:VRR262197 WBN262191:WBN262197 WLJ262191:WLJ262197 WVF262191:WVF262197 B327727:B327733 IT327727:IT327733 SP327727:SP327733 ACL327727:ACL327733 AMH327727:AMH327733 AWD327727:AWD327733 BFZ327727:BFZ327733 BPV327727:BPV327733 BZR327727:BZR327733 CJN327727:CJN327733 CTJ327727:CTJ327733 DDF327727:DDF327733 DNB327727:DNB327733 DWX327727:DWX327733 EGT327727:EGT327733 EQP327727:EQP327733 FAL327727:FAL327733 FKH327727:FKH327733 FUD327727:FUD327733 GDZ327727:GDZ327733 GNV327727:GNV327733 GXR327727:GXR327733 HHN327727:HHN327733 HRJ327727:HRJ327733 IBF327727:IBF327733 ILB327727:ILB327733 IUX327727:IUX327733 JET327727:JET327733 JOP327727:JOP327733 JYL327727:JYL327733 KIH327727:KIH327733 KSD327727:KSD327733 LBZ327727:LBZ327733 LLV327727:LLV327733 LVR327727:LVR327733 MFN327727:MFN327733 MPJ327727:MPJ327733 MZF327727:MZF327733 NJB327727:NJB327733 NSX327727:NSX327733 OCT327727:OCT327733 OMP327727:OMP327733 OWL327727:OWL327733 PGH327727:PGH327733 PQD327727:PQD327733 PZZ327727:PZZ327733 QJV327727:QJV327733 QTR327727:QTR327733 RDN327727:RDN327733 RNJ327727:RNJ327733 RXF327727:RXF327733 SHB327727:SHB327733 SQX327727:SQX327733 TAT327727:TAT327733 TKP327727:TKP327733 TUL327727:TUL327733 UEH327727:UEH327733 UOD327727:UOD327733 UXZ327727:UXZ327733 VHV327727:VHV327733 VRR327727:VRR327733 WBN327727:WBN327733 WLJ327727:WLJ327733 WVF327727:WVF327733 B393263:B393269 IT393263:IT393269 SP393263:SP393269 ACL393263:ACL393269 AMH393263:AMH393269 AWD393263:AWD393269 BFZ393263:BFZ393269 BPV393263:BPV393269 BZR393263:BZR393269 CJN393263:CJN393269 CTJ393263:CTJ393269 DDF393263:DDF393269 DNB393263:DNB393269 DWX393263:DWX393269 EGT393263:EGT393269 EQP393263:EQP393269 FAL393263:FAL393269 FKH393263:FKH393269 FUD393263:FUD393269 GDZ393263:GDZ393269 GNV393263:GNV393269 GXR393263:GXR393269 HHN393263:HHN393269 HRJ393263:HRJ393269 IBF393263:IBF393269 ILB393263:ILB393269 IUX393263:IUX393269 JET393263:JET393269 JOP393263:JOP393269 JYL393263:JYL393269 KIH393263:KIH393269 KSD393263:KSD393269 LBZ393263:LBZ393269 LLV393263:LLV393269 LVR393263:LVR393269 MFN393263:MFN393269 MPJ393263:MPJ393269 MZF393263:MZF393269 NJB393263:NJB393269 NSX393263:NSX393269 OCT393263:OCT393269 OMP393263:OMP393269 OWL393263:OWL393269 PGH393263:PGH393269 PQD393263:PQD393269 PZZ393263:PZZ393269 QJV393263:QJV393269 QTR393263:QTR393269 RDN393263:RDN393269 RNJ393263:RNJ393269 RXF393263:RXF393269 SHB393263:SHB393269 SQX393263:SQX393269 TAT393263:TAT393269 TKP393263:TKP393269 TUL393263:TUL393269 UEH393263:UEH393269 UOD393263:UOD393269 UXZ393263:UXZ393269 VHV393263:VHV393269 VRR393263:VRR393269 WBN393263:WBN393269 WLJ393263:WLJ393269 WVF393263:WVF393269 B458799:B458805 IT458799:IT458805 SP458799:SP458805 ACL458799:ACL458805 AMH458799:AMH458805 AWD458799:AWD458805 BFZ458799:BFZ458805 BPV458799:BPV458805 BZR458799:BZR458805 CJN458799:CJN458805 CTJ458799:CTJ458805 DDF458799:DDF458805 DNB458799:DNB458805 DWX458799:DWX458805 EGT458799:EGT458805 EQP458799:EQP458805 FAL458799:FAL458805 FKH458799:FKH458805 FUD458799:FUD458805 GDZ458799:GDZ458805 GNV458799:GNV458805 GXR458799:GXR458805 HHN458799:HHN458805 HRJ458799:HRJ458805 IBF458799:IBF458805 ILB458799:ILB458805 IUX458799:IUX458805 JET458799:JET458805 JOP458799:JOP458805 JYL458799:JYL458805 KIH458799:KIH458805 KSD458799:KSD458805 LBZ458799:LBZ458805 LLV458799:LLV458805 LVR458799:LVR458805 MFN458799:MFN458805 MPJ458799:MPJ458805 MZF458799:MZF458805 NJB458799:NJB458805 NSX458799:NSX458805 OCT458799:OCT458805 OMP458799:OMP458805 OWL458799:OWL458805 PGH458799:PGH458805 PQD458799:PQD458805 PZZ458799:PZZ458805 QJV458799:QJV458805 QTR458799:QTR458805 RDN458799:RDN458805 RNJ458799:RNJ458805 RXF458799:RXF458805 SHB458799:SHB458805 SQX458799:SQX458805 TAT458799:TAT458805 TKP458799:TKP458805 TUL458799:TUL458805 UEH458799:UEH458805 UOD458799:UOD458805 UXZ458799:UXZ458805 VHV458799:VHV458805 VRR458799:VRR458805 WBN458799:WBN458805 WLJ458799:WLJ458805 WVF458799:WVF458805 B524335:B524341 IT524335:IT524341 SP524335:SP524341 ACL524335:ACL524341 AMH524335:AMH524341 AWD524335:AWD524341 BFZ524335:BFZ524341 BPV524335:BPV524341 BZR524335:BZR524341 CJN524335:CJN524341 CTJ524335:CTJ524341 DDF524335:DDF524341 DNB524335:DNB524341 DWX524335:DWX524341 EGT524335:EGT524341 EQP524335:EQP524341 FAL524335:FAL524341 FKH524335:FKH524341 FUD524335:FUD524341 GDZ524335:GDZ524341 GNV524335:GNV524341 GXR524335:GXR524341 HHN524335:HHN524341 HRJ524335:HRJ524341 IBF524335:IBF524341 ILB524335:ILB524341 IUX524335:IUX524341 JET524335:JET524341 JOP524335:JOP524341 JYL524335:JYL524341 KIH524335:KIH524341 KSD524335:KSD524341 LBZ524335:LBZ524341 LLV524335:LLV524341 LVR524335:LVR524341 MFN524335:MFN524341 MPJ524335:MPJ524341 MZF524335:MZF524341 NJB524335:NJB524341 NSX524335:NSX524341 OCT524335:OCT524341 OMP524335:OMP524341 OWL524335:OWL524341 PGH524335:PGH524341 PQD524335:PQD524341 PZZ524335:PZZ524341 QJV524335:QJV524341 QTR524335:QTR524341 RDN524335:RDN524341 RNJ524335:RNJ524341 RXF524335:RXF524341 SHB524335:SHB524341 SQX524335:SQX524341 TAT524335:TAT524341 TKP524335:TKP524341 TUL524335:TUL524341 UEH524335:UEH524341 UOD524335:UOD524341 UXZ524335:UXZ524341 VHV524335:VHV524341 VRR524335:VRR524341 WBN524335:WBN524341 WLJ524335:WLJ524341 WVF524335:WVF524341 B589871:B589877 IT589871:IT589877 SP589871:SP589877 ACL589871:ACL589877 AMH589871:AMH589877 AWD589871:AWD589877 BFZ589871:BFZ589877 BPV589871:BPV589877 BZR589871:BZR589877 CJN589871:CJN589877 CTJ589871:CTJ589877 DDF589871:DDF589877 DNB589871:DNB589877 DWX589871:DWX589877 EGT589871:EGT589877 EQP589871:EQP589877 FAL589871:FAL589877 FKH589871:FKH589877 FUD589871:FUD589877 GDZ589871:GDZ589877 GNV589871:GNV589877 GXR589871:GXR589877 HHN589871:HHN589877 HRJ589871:HRJ589877 IBF589871:IBF589877 ILB589871:ILB589877 IUX589871:IUX589877 JET589871:JET589877 JOP589871:JOP589877 JYL589871:JYL589877 KIH589871:KIH589877 KSD589871:KSD589877 LBZ589871:LBZ589877 LLV589871:LLV589877 LVR589871:LVR589877 MFN589871:MFN589877 MPJ589871:MPJ589877 MZF589871:MZF589877 NJB589871:NJB589877 NSX589871:NSX589877 OCT589871:OCT589877 OMP589871:OMP589877 OWL589871:OWL589877 PGH589871:PGH589877 PQD589871:PQD589877 PZZ589871:PZZ589877 QJV589871:QJV589877 QTR589871:QTR589877 RDN589871:RDN589877 RNJ589871:RNJ589877 RXF589871:RXF589877 SHB589871:SHB589877 SQX589871:SQX589877 TAT589871:TAT589877 TKP589871:TKP589877 TUL589871:TUL589877 UEH589871:UEH589877 UOD589871:UOD589877 UXZ589871:UXZ589877 VHV589871:VHV589877 VRR589871:VRR589877 WBN589871:WBN589877 WLJ589871:WLJ589877 WVF589871:WVF589877 B655407:B655413 IT655407:IT655413 SP655407:SP655413 ACL655407:ACL655413 AMH655407:AMH655413 AWD655407:AWD655413 BFZ655407:BFZ655413 BPV655407:BPV655413 BZR655407:BZR655413 CJN655407:CJN655413 CTJ655407:CTJ655413 DDF655407:DDF655413 DNB655407:DNB655413 DWX655407:DWX655413 EGT655407:EGT655413 EQP655407:EQP655413 FAL655407:FAL655413 FKH655407:FKH655413 FUD655407:FUD655413 GDZ655407:GDZ655413 GNV655407:GNV655413 GXR655407:GXR655413 HHN655407:HHN655413 HRJ655407:HRJ655413 IBF655407:IBF655413 ILB655407:ILB655413 IUX655407:IUX655413 JET655407:JET655413 JOP655407:JOP655413 JYL655407:JYL655413 KIH655407:KIH655413 KSD655407:KSD655413 LBZ655407:LBZ655413 LLV655407:LLV655413 LVR655407:LVR655413 MFN655407:MFN655413 MPJ655407:MPJ655413 MZF655407:MZF655413 NJB655407:NJB655413 NSX655407:NSX655413 OCT655407:OCT655413 OMP655407:OMP655413 OWL655407:OWL655413 PGH655407:PGH655413 PQD655407:PQD655413 PZZ655407:PZZ655413 QJV655407:QJV655413 QTR655407:QTR655413 RDN655407:RDN655413 RNJ655407:RNJ655413 RXF655407:RXF655413 SHB655407:SHB655413 SQX655407:SQX655413 TAT655407:TAT655413 TKP655407:TKP655413 TUL655407:TUL655413 UEH655407:UEH655413 UOD655407:UOD655413 UXZ655407:UXZ655413 VHV655407:VHV655413 VRR655407:VRR655413 WBN655407:WBN655413 WLJ655407:WLJ655413 WVF655407:WVF655413 B720943:B720949 IT720943:IT720949 SP720943:SP720949 ACL720943:ACL720949 AMH720943:AMH720949 AWD720943:AWD720949 BFZ720943:BFZ720949 BPV720943:BPV720949 BZR720943:BZR720949 CJN720943:CJN720949 CTJ720943:CTJ720949 DDF720943:DDF720949 DNB720943:DNB720949 DWX720943:DWX720949 EGT720943:EGT720949 EQP720943:EQP720949 FAL720943:FAL720949 FKH720943:FKH720949 FUD720943:FUD720949 GDZ720943:GDZ720949 GNV720943:GNV720949 GXR720943:GXR720949 HHN720943:HHN720949 HRJ720943:HRJ720949 IBF720943:IBF720949 ILB720943:ILB720949 IUX720943:IUX720949 JET720943:JET720949 JOP720943:JOP720949 JYL720943:JYL720949 KIH720943:KIH720949 KSD720943:KSD720949 LBZ720943:LBZ720949 LLV720943:LLV720949 LVR720943:LVR720949 MFN720943:MFN720949 MPJ720943:MPJ720949 MZF720943:MZF720949 NJB720943:NJB720949 NSX720943:NSX720949 OCT720943:OCT720949 OMP720943:OMP720949 OWL720943:OWL720949 PGH720943:PGH720949 PQD720943:PQD720949 PZZ720943:PZZ720949 QJV720943:QJV720949 QTR720943:QTR720949 RDN720943:RDN720949 RNJ720943:RNJ720949 RXF720943:RXF720949 SHB720943:SHB720949 SQX720943:SQX720949 TAT720943:TAT720949 TKP720943:TKP720949 TUL720943:TUL720949 UEH720943:UEH720949 UOD720943:UOD720949 UXZ720943:UXZ720949 VHV720943:VHV720949 VRR720943:VRR720949 WBN720943:WBN720949 WLJ720943:WLJ720949 WVF720943:WVF720949 B786479:B786485 IT786479:IT786485 SP786479:SP786485 ACL786479:ACL786485 AMH786479:AMH786485 AWD786479:AWD786485 BFZ786479:BFZ786485 BPV786479:BPV786485 BZR786479:BZR786485 CJN786479:CJN786485 CTJ786479:CTJ786485 DDF786479:DDF786485 DNB786479:DNB786485 DWX786479:DWX786485 EGT786479:EGT786485 EQP786479:EQP786485 FAL786479:FAL786485 FKH786479:FKH786485 FUD786479:FUD786485 GDZ786479:GDZ786485 GNV786479:GNV786485 GXR786479:GXR786485 HHN786479:HHN786485 HRJ786479:HRJ786485 IBF786479:IBF786485 ILB786479:ILB786485 IUX786479:IUX786485 JET786479:JET786485 JOP786479:JOP786485 JYL786479:JYL786485 KIH786479:KIH786485 KSD786479:KSD786485 LBZ786479:LBZ786485 LLV786479:LLV786485 LVR786479:LVR786485 MFN786479:MFN786485 MPJ786479:MPJ786485 MZF786479:MZF786485 NJB786479:NJB786485 NSX786479:NSX786485 OCT786479:OCT786485 OMP786479:OMP786485 OWL786479:OWL786485 PGH786479:PGH786485 PQD786479:PQD786485 PZZ786479:PZZ786485 QJV786479:QJV786485 QTR786479:QTR786485 RDN786479:RDN786485 RNJ786479:RNJ786485 RXF786479:RXF786485 SHB786479:SHB786485 SQX786479:SQX786485 TAT786479:TAT786485 TKP786479:TKP786485 TUL786479:TUL786485 UEH786479:UEH786485 UOD786479:UOD786485 UXZ786479:UXZ786485 VHV786479:VHV786485 VRR786479:VRR786485 WBN786479:WBN786485 WLJ786479:WLJ786485 WVF786479:WVF786485 B852015:B852021 IT852015:IT852021 SP852015:SP852021 ACL852015:ACL852021 AMH852015:AMH852021 AWD852015:AWD852021 BFZ852015:BFZ852021 BPV852015:BPV852021 BZR852015:BZR852021 CJN852015:CJN852021 CTJ852015:CTJ852021 DDF852015:DDF852021 DNB852015:DNB852021 DWX852015:DWX852021 EGT852015:EGT852021 EQP852015:EQP852021 FAL852015:FAL852021 FKH852015:FKH852021 FUD852015:FUD852021 GDZ852015:GDZ852021 GNV852015:GNV852021 GXR852015:GXR852021 HHN852015:HHN852021 HRJ852015:HRJ852021 IBF852015:IBF852021 ILB852015:ILB852021 IUX852015:IUX852021 JET852015:JET852021 JOP852015:JOP852021 JYL852015:JYL852021 KIH852015:KIH852021 KSD852015:KSD852021 LBZ852015:LBZ852021 LLV852015:LLV852021 LVR852015:LVR852021 MFN852015:MFN852021 MPJ852015:MPJ852021 MZF852015:MZF852021 NJB852015:NJB852021 NSX852015:NSX852021 OCT852015:OCT852021 OMP852015:OMP852021 OWL852015:OWL852021 PGH852015:PGH852021 PQD852015:PQD852021 PZZ852015:PZZ852021 QJV852015:QJV852021 QTR852015:QTR852021 RDN852015:RDN852021 RNJ852015:RNJ852021 RXF852015:RXF852021 SHB852015:SHB852021 SQX852015:SQX852021 TAT852015:TAT852021 TKP852015:TKP852021 TUL852015:TUL852021 UEH852015:UEH852021 UOD852015:UOD852021 UXZ852015:UXZ852021 VHV852015:VHV852021 VRR852015:VRR852021 WBN852015:WBN852021 WLJ852015:WLJ852021 WVF852015:WVF852021 B917551:B917557 IT917551:IT917557 SP917551:SP917557 ACL917551:ACL917557 AMH917551:AMH917557 AWD917551:AWD917557 BFZ917551:BFZ917557 BPV917551:BPV917557 BZR917551:BZR917557 CJN917551:CJN917557 CTJ917551:CTJ917557 DDF917551:DDF917557 DNB917551:DNB917557 DWX917551:DWX917557 EGT917551:EGT917557 EQP917551:EQP917557 FAL917551:FAL917557 FKH917551:FKH917557 FUD917551:FUD917557 GDZ917551:GDZ917557 GNV917551:GNV917557 GXR917551:GXR917557 HHN917551:HHN917557 HRJ917551:HRJ917557 IBF917551:IBF917557 ILB917551:ILB917557 IUX917551:IUX917557 JET917551:JET917557 JOP917551:JOP917557 JYL917551:JYL917557 KIH917551:KIH917557 KSD917551:KSD917557 LBZ917551:LBZ917557 LLV917551:LLV917557 LVR917551:LVR917557 MFN917551:MFN917557 MPJ917551:MPJ917557 MZF917551:MZF917557 NJB917551:NJB917557 NSX917551:NSX917557 OCT917551:OCT917557 OMP917551:OMP917557 OWL917551:OWL917557 PGH917551:PGH917557 PQD917551:PQD917557 PZZ917551:PZZ917557 QJV917551:QJV917557 QTR917551:QTR917557 RDN917551:RDN917557 RNJ917551:RNJ917557 RXF917551:RXF917557 SHB917551:SHB917557 SQX917551:SQX917557 TAT917551:TAT917557 TKP917551:TKP917557 TUL917551:TUL917557 UEH917551:UEH917557 UOD917551:UOD917557 UXZ917551:UXZ917557 VHV917551:VHV917557 VRR917551:VRR917557 WBN917551:WBN917557 WLJ917551:WLJ917557 WVF917551:WVF917557 B983087:B983093 IT983087:IT983093 SP983087:SP983093 ACL983087:ACL983093 AMH983087:AMH983093 AWD983087:AWD983093 BFZ983087:BFZ983093 BPV983087:BPV983093 BZR983087:BZR983093 CJN983087:CJN983093 CTJ983087:CTJ983093 DDF983087:DDF983093 DNB983087:DNB983093 DWX983087:DWX983093 EGT983087:EGT983093 EQP983087:EQP983093 FAL983087:FAL983093 FKH983087:FKH983093 FUD983087:FUD983093 GDZ983087:GDZ983093 GNV983087:GNV983093 GXR983087:GXR983093 HHN983087:HHN983093 HRJ983087:HRJ983093 IBF983087:IBF983093 ILB983087:ILB983093 IUX983087:IUX983093 JET983087:JET983093 JOP983087:JOP983093 JYL983087:JYL983093 KIH983087:KIH983093 KSD983087:KSD983093 LBZ983087:LBZ983093 LLV983087:LLV983093 LVR983087:LVR983093 MFN983087:MFN983093 MPJ983087:MPJ983093 MZF983087:MZF983093 NJB983087:NJB983093 NSX983087:NSX983093 OCT983087:OCT983093 OMP983087:OMP983093 OWL983087:OWL983093 PGH983087:PGH983093 PQD983087:PQD983093 PZZ983087:PZZ983093 QJV983087:QJV983093 QTR983087:QTR983093 RDN983087:RDN983093 RNJ983087:RNJ983093 RXF983087:RXF983093 SHB983087:SHB983093 SQX983087:SQX983093 TAT983087:TAT983093 TKP983087:TKP983093 TUL983087:TUL983093 UEH983087:UEH983093 UOD983087:UOD983093 UXZ983087:UXZ983093 VHV983087:VHV983093 VRR983087:VRR983093 WBN983087:WBN983093 WLJ983087:WLJ983093 WVF983087:WVF983093 B26:B36 IT26:IT36 SP26:SP36 ACL26:ACL36 AMH26:AMH36 AWD26:AWD36 BFZ26:BFZ36 BPV26:BPV36 BZR26:BZR36 CJN26:CJN36 CTJ26:CTJ36 DDF26:DDF36 DNB26:DNB36 DWX26:DWX36 EGT26:EGT36 EQP26:EQP36 FAL26:FAL36 FKH26:FKH36 FUD26:FUD36 GDZ26:GDZ36 GNV26:GNV36 GXR26:GXR36 HHN26:HHN36 HRJ26:HRJ36 IBF26:IBF36 ILB26:ILB36 IUX26:IUX36 JET26:JET36 JOP26:JOP36 JYL26:JYL36 KIH26:KIH36 KSD26:KSD36 LBZ26:LBZ36 LLV26:LLV36 LVR26:LVR36 MFN26:MFN36 MPJ26:MPJ36 MZF26:MZF36 NJB26:NJB36 NSX26:NSX36 OCT26:OCT36 OMP26:OMP36 OWL26:OWL36 PGH26:PGH36 PQD26:PQD36 PZZ26:PZZ36 QJV26:QJV36 QTR26:QTR36 RDN26:RDN36 RNJ26:RNJ36 RXF26:RXF36 SHB26:SHB36 SQX26:SQX36 TAT26:TAT36 TKP26:TKP36 TUL26:TUL36 UEH26:UEH36 UOD26:UOD36 UXZ26:UXZ36 VHV26:VHV36 VRR26:VRR36 WBN26:WBN36 WLJ26:WLJ36 WVF26:WVF36 B65562:B65572 IT65562:IT65572 SP65562:SP65572 ACL65562:ACL65572 AMH65562:AMH65572 AWD65562:AWD65572 BFZ65562:BFZ65572 BPV65562:BPV65572 BZR65562:BZR65572 CJN65562:CJN65572 CTJ65562:CTJ65572 DDF65562:DDF65572 DNB65562:DNB65572 DWX65562:DWX65572 EGT65562:EGT65572 EQP65562:EQP65572 FAL65562:FAL65572 FKH65562:FKH65572 FUD65562:FUD65572 GDZ65562:GDZ65572 GNV65562:GNV65572 GXR65562:GXR65572 HHN65562:HHN65572 HRJ65562:HRJ65572 IBF65562:IBF65572 ILB65562:ILB65572 IUX65562:IUX65572 JET65562:JET65572 JOP65562:JOP65572 JYL65562:JYL65572 KIH65562:KIH65572 KSD65562:KSD65572 LBZ65562:LBZ65572 LLV65562:LLV65572 LVR65562:LVR65572 MFN65562:MFN65572 MPJ65562:MPJ65572 MZF65562:MZF65572 NJB65562:NJB65572 NSX65562:NSX65572 OCT65562:OCT65572 OMP65562:OMP65572 OWL65562:OWL65572 PGH65562:PGH65572 PQD65562:PQD65572 PZZ65562:PZZ65572 QJV65562:QJV65572 QTR65562:QTR65572 RDN65562:RDN65572 RNJ65562:RNJ65572 RXF65562:RXF65572 SHB65562:SHB65572 SQX65562:SQX65572 TAT65562:TAT65572 TKP65562:TKP65572 TUL65562:TUL65572 UEH65562:UEH65572 UOD65562:UOD65572 UXZ65562:UXZ65572 VHV65562:VHV65572 VRR65562:VRR65572 WBN65562:WBN65572 WLJ65562:WLJ65572 WVF65562:WVF65572 B131098:B131108 IT131098:IT131108 SP131098:SP131108 ACL131098:ACL131108 AMH131098:AMH131108 AWD131098:AWD131108 BFZ131098:BFZ131108 BPV131098:BPV131108 BZR131098:BZR131108 CJN131098:CJN131108 CTJ131098:CTJ131108 DDF131098:DDF131108 DNB131098:DNB131108 DWX131098:DWX131108 EGT131098:EGT131108 EQP131098:EQP131108 FAL131098:FAL131108 FKH131098:FKH131108 FUD131098:FUD131108 GDZ131098:GDZ131108 GNV131098:GNV131108 GXR131098:GXR131108 HHN131098:HHN131108 HRJ131098:HRJ131108 IBF131098:IBF131108 ILB131098:ILB131108 IUX131098:IUX131108 JET131098:JET131108 JOP131098:JOP131108 JYL131098:JYL131108 KIH131098:KIH131108 KSD131098:KSD131108 LBZ131098:LBZ131108 LLV131098:LLV131108 LVR131098:LVR131108 MFN131098:MFN131108 MPJ131098:MPJ131108 MZF131098:MZF131108 NJB131098:NJB131108 NSX131098:NSX131108 OCT131098:OCT131108 OMP131098:OMP131108 OWL131098:OWL131108 PGH131098:PGH131108 PQD131098:PQD131108 PZZ131098:PZZ131108 QJV131098:QJV131108 QTR131098:QTR131108 RDN131098:RDN131108 RNJ131098:RNJ131108 RXF131098:RXF131108 SHB131098:SHB131108 SQX131098:SQX131108 TAT131098:TAT131108 TKP131098:TKP131108 TUL131098:TUL131108 UEH131098:UEH131108 UOD131098:UOD131108 UXZ131098:UXZ131108 VHV131098:VHV131108 VRR131098:VRR131108 WBN131098:WBN131108 WLJ131098:WLJ131108 WVF131098:WVF131108 B196634:B196644 IT196634:IT196644 SP196634:SP196644 ACL196634:ACL196644 AMH196634:AMH196644 AWD196634:AWD196644 BFZ196634:BFZ196644 BPV196634:BPV196644 BZR196634:BZR196644 CJN196634:CJN196644 CTJ196634:CTJ196644 DDF196634:DDF196644 DNB196634:DNB196644 DWX196634:DWX196644 EGT196634:EGT196644 EQP196634:EQP196644 FAL196634:FAL196644 FKH196634:FKH196644 FUD196634:FUD196644 GDZ196634:GDZ196644 GNV196634:GNV196644 GXR196634:GXR196644 HHN196634:HHN196644 HRJ196634:HRJ196644 IBF196634:IBF196644 ILB196634:ILB196644 IUX196634:IUX196644 JET196634:JET196644 JOP196634:JOP196644 JYL196634:JYL196644 KIH196634:KIH196644 KSD196634:KSD196644 LBZ196634:LBZ196644 LLV196634:LLV196644 LVR196634:LVR196644 MFN196634:MFN196644 MPJ196634:MPJ196644 MZF196634:MZF196644 NJB196634:NJB196644 NSX196634:NSX196644 OCT196634:OCT196644 OMP196634:OMP196644 OWL196634:OWL196644 PGH196634:PGH196644 PQD196634:PQD196644 PZZ196634:PZZ196644 QJV196634:QJV196644 QTR196634:QTR196644 RDN196634:RDN196644 RNJ196634:RNJ196644 RXF196634:RXF196644 SHB196634:SHB196644 SQX196634:SQX196644 TAT196634:TAT196644 TKP196634:TKP196644 TUL196634:TUL196644 UEH196634:UEH196644 UOD196634:UOD196644 UXZ196634:UXZ196644 VHV196634:VHV196644 VRR196634:VRR196644 WBN196634:WBN196644 WLJ196634:WLJ196644 WVF196634:WVF196644 B262170:B262180 IT262170:IT262180 SP262170:SP262180 ACL262170:ACL262180 AMH262170:AMH262180 AWD262170:AWD262180 BFZ262170:BFZ262180 BPV262170:BPV262180 BZR262170:BZR262180 CJN262170:CJN262180 CTJ262170:CTJ262180 DDF262170:DDF262180 DNB262170:DNB262180 DWX262170:DWX262180 EGT262170:EGT262180 EQP262170:EQP262180 FAL262170:FAL262180 FKH262170:FKH262180 FUD262170:FUD262180 GDZ262170:GDZ262180 GNV262170:GNV262180 GXR262170:GXR262180 HHN262170:HHN262180 HRJ262170:HRJ262180 IBF262170:IBF262180 ILB262170:ILB262180 IUX262170:IUX262180 JET262170:JET262180 JOP262170:JOP262180 JYL262170:JYL262180 KIH262170:KIH262180 KSD262170:KSD262180 LBZ262170:LBZ262180 LLV262170:LLV262180 LVR262170:LVR262180 MFN262170:MFN262180 MPJ262170:MPJ262180 MZF262170:MZF262180 NJB262170:NJB262180 NSX262170:NSX262180 OCT262170:OCT262180 OMP262170:OMP262180 OWL262170:OWL262180 PGH262170:PGH262180 PQD262170:PQD262180 PZZ262170:PZZ262180 QJV262170:QJV262180 QTR262170:QTR262180 RDN262170:RDN262180 RNJ262170:RNJ262180 RXF262170:RXF262180 SHB262170:SHB262180 SQX262170:SQX262180 TAT262170:TAT262180 TKP262170:TKP262180 TUL262170:TUL262180 UEH262170:UEH262180 UOD262170:UOD262180 UXZ262170:UXZ262180 VHV262170:VHV262180 VRR262170:VRR262180 WBN262170:WBN262180 WLJ262170:WLJ262180 WVF262170:WVF262180 B327706:B327716 IT327706:IT327716 SP327706:SP327716 ACL327706:ACL327716 AMH327706:AMH327716 AWD327706:AWD327716 BFZ327706:BFZ327716 BPV327706:BPV327716 BZR327706:BZR327716 CJN327706:CJN327716 CTJ327706:CTJ327716 DDF327706:DDF327716 DNB327706:DNB327716 DWX327706:DWX327716 EGT327706:EGT327716 EQP327706:EQP327716 FAL327706:FAL327716 FKH327706:FKH327716 FUD327706:FUD327716 GDZ327706:GDZ327716 GNV327706:GNV327716 GXR327706:GXR327716 HHN327706:HHN327716 HRJ327706:HRJ327716 IBF327706:IBF327716 ILB327706:ILB327716 IUX327706:IUX327716 JET327706:JET327716 JOP327706:JOP327716 JYL327706:JYL327716 KIH327706:KIH327716 KSD327706:KSD327716 LBZ327706:LBZ327716 LLV327706:LLV327716 LVR327706:LVR327716 MFN327706:MFN327716 MPJ327706:MPJ327716 MZF327706:MZF327716 NJB327706:NJB327716 NSX327706:NSX327716 OCT327706:OCT327716 OMP327706:OMP327716 OWL327706:OWL327716 PGH327706:PGH327716 PQD327706:PQD327716 PZZ327706:PZZ327716 QJV327706:QJV327716 QTR327706:QTR327716 RDN327706:RDN327716 RNJ327706:RNJ327716 RXF327706:RXF327716 SHB327706:SHB327716 SQX327706:SQX327716 TAT327706:TAT327716 TKP327706:TKP327716 TUL327706:TUL327716 UEH327706:UEH327716 UOD327706:UOD327716 UXZ327706:UXZ327716 VHV327706:VHV327716 VRR327706:VRR327716 WBN327706:WBN327716 WLJ327706:WLJ327716 WVF327706:WVF327716 B393242:B393252 IT393242:IT393252 SP393242:SP393252 ACL393242:ACL393252 AMH393242:AMH393252 AWD393242:AWD393252 BFZ393242:BFZ393252 BPV393242:BPV393252 BZR393242:BZR393252 CJN393242:CJN393252 CTJ393242:CTJ393252 DDF393242:DDF393252 DNB393242:DNB393252 DWX393242:DWX393252 EGT393242:EGT393252 EQP393242:EQP393252 FAL393242:FAL393252 FKH393242:FKH393252 FUD393242:FUD393252 GDZ393242:GDZ393252 GNV393242:GNV393252 GXR393242:GXR393252 HHN393242:HHN393252 HRJ393242:HRJ393252 IBF393242:IBF393252 ILB393242:ILB393252 IUX393242:IUX393252 JET393242:JET393252 JOP393242:JOP393252 JYL393242:JYL393252 KIH393242:KIH393252 KSD393242:KSD393252 LBZ393242:LBZ393252 LLV393242:LLV393252 LVR393242:LVR393252 MFN393242:MFN393252 MPJ393242:MPJ393252 MZF393242:MZF393252 NJB393242:NJB393252 NSX393242:NSX393252 OCT393242:OCT393252 OMP393242:OMP393252 OWL393242:OWL393252 PGH393242:PGH393252 PQD393242:PQD393252 PZZ393242:PZZ393252 QJV393242:QJV393252 QTR393242:QTR393252 RDN393242:RDN393252 RNJ393242:RNJ393252 RXF393242:RXF393252 SHB393242:SHB393252 SQX393242:SQX393252 TAT393242:TAT393252 TKP393242:TKP393252 TUL393242:TUL393252 UEH393242:UEH393252 UOD393242:UOD393252 UXZ393242:UXZ393252 VHV393242:VHV393252 VRR393242:VRR393252 WBN393242:WBN393252 WLJ393242:WLJ393252 WVF393242:WVF393252 B458778:B458788 IT458778:IT458788 SP458778:SP458788 ACL458778:ACL458788 AMH458778:AMH458788 AWD458778:AWD458788 BFZ458778:BFZ458788 BPV458778:BPV458788 BZR458778:BZR458788 CJN458778:CJN458788 CTJ458778:CTJ458788 DDF458778:DDF458788 DNB458778:DNB458788 DWX458778:DWX458788 EGT458778:EGT458788 EQP458778:EQP458788 FAL458778:FAL458788 FKH458778:FKH458788 FUD458778:FUD458788 GDZ458778:GDZ458788 GNV458778:GNV458788 GXR458778:GXR458788 HHN458778:HHN458788 HRJ458778:HRJ458788 IBF458778:IBF458788 ILB458778:ILB458788 IUX458778:IUX458788 JET458778:JET458788 JOP458778:JOP458788 JYL458778:JYL458788 KIH458778:KIH458788 KSD458778:KSD458788 LBZ458778:LBZ458788 LLV458778:LLV458788 LVR458778:LVR458788 MFN458778:MFN458788 MPJ458778:MPJ458788 MZF458778:MZF458788 NJB458778:NJB458788 NSX458778:NSX458788 OCT458778:OCT458788 OMP458778:OMP458788 OWL458778:OWL458788 PGH458778:PGH458788 PQD458778:PQD458788 PZZ458778:PZZ458788 QJV458778:QJV458788 QTR458778:QTR458788 RDN458778:RDN458788 RNJ458778:RNJ458788 RXF458778:RXF458788 SHB458778:SHB458788 SQX458778:SQX458788 TAT458778:TAT458788 TKP458778:TKP458788 TUL458778:TUL458788 UEH458778:UEH458788 UOD458778:UOD458788 UXZ458778:UXZ458788 VHV458778:VHV458788 VRR458778:VRR458788 WBN458778:WBN458788 WLJ458778:WLJ458788 WVF458778:WVF458788 B524314:B524324 IT524314:IT524324 SP524314:SP524324 ACL524314:ACL524324 AMH524314:AMH524324 AWD524314:AWD524324 BFZ524314:BFZ524324 BPV524314:BPV524324 BZR524314:BZR524324 CJN524314:CJN524324 CTJ524314:CTJ524324 DDF524314:DDF524324 DNB524314:DNB524324 DWX524314:DWX524324 EGT524314:EGT524324 EQP524314:EQP524324 FAL524314:FAL524324 FKH524314:FKH524324 FUD524314:FUD524324 GDZ524314:GDZ524324 GNV524314:GNV524324 GXR524314:GXR524324 HHN524314:HHN524324 HRJ524314:HRJ524324 IBF524314:IBF524324 ILB524314:ILB524324 IUX524314:IUX524324 JET524314:JET524324 JOP524314:JOP524324 JYL524314:JYL524324 KIH524314:KIH524324 KSD524314:KSD524324 LBZ524314:LBZ524324 LLV524314:LLV524324 LVR524314:LVR524324 MFN524314:MFN524324 MPJ524314:MPJ524324 MZF524314:MZF524324 NJB524314:NJB524324 NSX524314:NSX524324 OCT524314:OCT524324 OMP524314:OMP524324 OWL524314:OWL524324 PGH524314:PGH524324 PQD524314:PQD524324 PZZ524314:PZZ524324 QJV524314:QJV524324 QTR524314:QTR524324 RDN524314:RDN524324 RNJ524314:RNJ524324 RXF524314:RXF524324 SHB524314:SHB524324 SQX524314:SQX524324 TAT524314:TAT524324 TKP524314:TKP524324 TUL524314:TUL524324 UEH524314:UEH524324 UOD524314:UOD524324 UXZ524314:UXZ524324 VHV524314:VHV524324 VRR524314:VRR524324 WBN524314:WBN524324 WLJ524314:WLJ524324 WVF524314:WVF524324 B589850:B589860 IT589850:IT589860 SP589850:SP589860 ACL589850:ACL589860 AMH589850:AMH589860 AWD589850:AWD589860 BFZ589850:BFZ589860 BPV589850:BPV589860 BZR589850:BZR589860 CJN589850:CJN589860 CTJ589850:CTJ589860 DDF589850:DDF589860 DNB589850:DNB589860 DWX589850:DWX589860 EGT589850:EGT589860 EQP589850:EQP589860 FAL589850:FAL589860 FKH589850:FKH589860 FUD589850:FUD589860 GDZ589850:GDZ589860 GNV589850:GNV589860 GXR589850:GXR589860 HHN589850:HHN589860 HRJ589850:HRJ589860 IBF589850:IBF589860 ILB589850:ILB589860 IUX589850:IUX589860 JET589850:JET589860 JOP589850:JOP589860 JYL589850:JYL589860 KIH589850:KIH589860 KSD589850:KSD589860 LBZ589850:LBZ589860 LLV589850:LLV589860 LVR589850:LVR589860 MFN589850:MFN589860 MPJ589850:MPJ589860 MZF589850:MZF589860 NJB589850:NJB589860 NSX589850:NSX589860 OCT589850:OCT589860 OMP589850:OMP589860 OWL589850:OWL589860 PGH589850:PGH589860 PQD589850:PQD589860 PZZ589850:PZZ589860 QJV589850:QJV589860 QTR589850:QTR589860 RDN589850:RDN589860 RNJ589850:RNJ589860 RXF589850:RXF589860 SHB589850:SHB589860 SQX589850:SQX589860 TAT589850:TAT589860 TKP589850:TKP589860 TUL589850:TUL589860 UEH589850:UEH589860 UOD589850:UOD589860 UXZ589850:UXZ589860 VHV589850:VHV589860 VRR589850:VRR589860 WBN589850:WBN589860 WLJ589850:WLJ589860 WVF589850:WVF589860 B655386:B655396 IT655386:IT655396 SP655386:SP655396 ACL655386:ACL655396 AMH655386:AMH655396 AWD655386:AWD655396 BFZ655386:BFZ655396 BPV655386:BPV655396 BZR655386:BZR655396 CJN655386:CJN655396 CTJ655386:CTJ655396 DDF655386:DDF655396 DNB655386:DNB655396 DWX655386:DWX655396 EGT655386:EGT655396 EQP655386:EQP655396 FAL655386:FAL655396 FKH655386:FKH655396 FUD655386:FUD655396 GDZ655386:GDZ655396 GNV655386:GNV655396 GXR655386:GXR655396 HHN655386:HHN655396 HRJ655386:HRJ655396 IBF655386:IBF655396 ILB655386:ILB655396 IUX655386:IUX655396 JET655386:JET655396 JOP655386:JOP655396 JYL655386:JYL655396 KIH655386:KIH655396 KSD655386:KSD655396 LBZ655386:LBZ655396 LLV655386:LLV655396 LVR655386:LVR655396 MFN655386:MFN655396 MPJ655386:MPJ655396 MZF655386:MZF655396 NJB655386:NJB655396 NSX655386:NSX655396 OCT655386:OCT655396 OMP655386:OMP655396 OWL655386:OWL655396 PGH655386:PGH655396 PQD655386:PQD655396 PZZ655386:PZZ655396 QJV655386:QJV655396 QTR655386:QTR655396 RDN655386:RDN655396 RNJ655386:RNJ655396 RXF655386:RXF655396 SHB655386:SHB655396 SQX655386:SQX655396 TAT655386:TAT655396 TKP655386:TKP655396 TUL655386:TUL655396 UEH655386:UEH655396 UOD655386:UOD655396 UXZ655386:UXZ655396 VHV655386:VHV655396 VRR655386:VRR655396 WBN655386:WBN655396 WLJ655386:WLJ655396 WVF655386:WVF655396 B720922:B720932 IT720922:IT720932 SP720922:SP720932 ACL720922:ACL720932 AMH720922:AMH720932 AWD720922:AWD720932 BFZ720922:BFZ720932 BPV720922:BPV720932 BZR720922:BZR720932 CJN720922:CJN720932 CTJ720922:CTJ720932 DDF720922:DDF720932 DNB720922:DNB720932 DWX720922:DWX720932 EGT720922:EGT720932 EQP720922:EQP720932 FAL720922:FAL720932 FKH720922:FKH720932 FUD720922:FUD720932 GDZ720922:GDZ720932 GNV720922:GNV720932 GXR720922:GXR720932 HHN720922:HHN720932 HRJ720922:HRJ720932 IBF720922:IBF720932 ILB720922:ILB720932 IUX720922:IUX720932 JET720922:JET720932 JOP720922:JOP720932 JYL720922:JYL720932 KIH720922:KIH720932 KSD720922:KSD720932 LBZ720922:LBZ720932 LLV720922:LLV720932 LVR720922:LVR720932 MFN720922:MFN720932 MPJ720922:MPJ720932 MZF720922:MZF720932 NJB720922:NJB720932 NSX720922:NSX720932 OCT720922:OCT720932 OMP720922:OMP720932 OWL720922:OWL720932 PGH720922:PGH720932 PQD720922:PQD720932 PZZ720922:PZZ720932 QJV720922:QJV720932 QTR720922:QTR720932 RDN720922:RDN720932 RNJ720922:RNJ720932 RXF720922:RXF720932 SHB720922:SHB720932 SQX720922:SQX720932 TAT720922:TAT720932 TKP720922:TKP720932 TUL720922:TUL720932 UEH720922:UEH720932 UOD720922:UOD720932 UXZ720922:UXZ720932 VHV720922:VHV720932 VRR720922:VRR720932 WBN720922:WBN720932 WLJ720922:WLJ720932 WVF720922:WVF720932 B786458:B786468 IT786458:IT786468 SP786458:SP786468 ACL786458:ACL786468 AMH786458:AMH786468 AWD786458:AWD786468 BFZ786458:BFZ786468 BPV786458:BPV786468 BZR786458:BZR786468 CJN786458:CJN786468 CTJ786458:CTJ786468 DDF786458:DDF786468 DNB786458:DNB786468 DWX786458:DWX786468 EGT786458:EGT786468 EQP786458:EQP786468 FAL786458:FAL786468 FKH786458:FKH786468 FUD786458:FUD786468 GDZ786458:GDZ786468 GNV786458:GNV786468 GXR786458:GXR786468 HHN786458:HHN786468 HRJ786458:HRJ786468 IBF786458:IBF786468 ILB786458:ILB786468 IUX786458:IUX786468 JET786458:JET786468 JOP786458:JOP786468 JYL786458:JYL786468 KIH786458:KIH786468 KSD786458:KSD786468 LBZ786458:LBZ786468 LLV786458:LLV786468 LVR786458:LVR786468 MFN786458:MFN786468 MPJ786458:MPJ786468 MZF786458:MZF786468 NJB786458:NJB786468 NSX786458:NSX786468 OCT786458:OCT786468 OMP786458:OMP786468 OWL786458:OWL786468 PGH786458:PGH786468 PQD786458:PQD786468 PZZ786458:PZZ786468 QJV786458:QJV786468 QTR786458:QTR786468 RDN786458:RDN786468 RNJ786458:RNJ786468 RXF786458:RXF786468 SHB786458:SHB786468 SQX786458:SQX786468 TAT786458:TAT786468 TKP786458:TKP786468 TUL786458:TUL786468 UEH786458:UEH786468 UOD786458:UOD786468 UXZ786458:UXZ786468 VHV786458:VHV786468 VRR786458:VRR786468 WBN786458:WBN786468 WLJ786458:WLJ786468 WVF786458:WVF786468 B851994:B852004 IT851994:IT852004 SP851994:SP852004 ACL851994:ACL852004 AMH851994:AMH852004 AWD851994:AWD852004 BFZ851994:BFZ852004 BPV851994:BPV852004 BZR851994:BZR852004 CJN851994:CJN852004 CTJ851994:CTJ852004 DDF851994:DDF852004 DNB851994:DNB852004 DWX851994:DWX852004 EGT851994:EGT852004 EQP851994:EQP852004 FAL851994:FAL852004 FKH851994:FKH852004 FUD851994:FUD852004 GDZ851994:GDZ852004 GNV851994:GNV852004 GXR851994:GXR852004 HHN851994:HHN852004 HRJ851994:HRJ852004 IBF851994:IBF852004 ILB851994:ILB852004 IUX851994:IUX852004 JET851994:JET852004 JOP851994:JOP852004 JYL851994:JYL852004 KIH851994:KIH852004 KSD851994:KSD852004 LBZ851994:LBZ852004 LLV851994:LLV852004 LVR851994:LVR852004 MFN851994:MFN852004 MPJ851994:MPJ852004 MZF851994:MZF852004 NJB851994:NJB852004 NSX851994:NSX852004 OCT851994:OCT852004 OMP851994:OMP852004 OWL851994:OWL852004 PGH851994:PGH852004 PQD851994:PQD852004 PZZ851994:PZZ852004 QJV851994:QJV852004 QTR851994:QTR852004 RDN851994:RDN852004 RNJ851994:RNJ852004 RXF851994:RXF852004 SHB851994:SHB852004 SQX851994:SQX852004 TAT851994:TAT852004 TKP851994:TKP852004 TUL851994:TUL852004 UEH851994:UEH852004 UOD851994:UOD852004 UXZ851994:UXZ852004 VHV851994:VHV852004 VRR851994:VRR852004 WBN851994:WBN852004 WLJ851994:WLJ852004 WVF851994:WVF852004 B917530:B917540 IT917530:IT917540 SP917530:SP917540 ACL917530:ACL917540 AMH917530:AMH917540 AWD917530:AWD917540 BFZ917530:BFZ917540 BPV917530:BPV917540 BZR917530:BZR917540 CJN917530:CJN917540 CTJ917530:CTJ917540 DDF917530:DDF917540 DNB917530:DNB917540 DWX917530:DWX917540 EGT917530:EGT917540 EQP917530:EQP917540 FAL917530:FAL917540 FKH917530:FKH917540 FUD917530:FUD917540 GDZ917530:GDZ917540 GNV917530:GNV917540 GXR917530:GXR917540 HHN917530:HHN917540 HRJ917530:HRJ917540 IBF917530:IBF917540 ILB917530:ILB917540 IUX917530:IUX917540 JET917530:JET917540 JOP917530:JOP917540 JYL917530:JYL917540 KIH917530:KIH917540 KSD917530:KSD917540 LBZ917530:LBZ917540 LLV917530:LLV917540 LVR917530:LVR917540 MFN917530:MFN917540 MPJ917530:MPJ917540 MZF917530:MZF917540 NJB917530:NJB917540 NSX917530:NSX917540 OCT917530:OCT917540 OMP917530:OMP917540 OWL917530:OWL917540 PGH917530:PGH917540 PQD917530:PQD917540 PZZ917530:PZZ917540 QJV917530:QJV917540 QTR917530:QTR917540 RDN917530:RDN917540 RNJ917530:RNJ917540 RXF917530:RXF917540 SHB917530:SHB917540 SQX917530:SQX917540 TAT917530:TAT917540 TKP917530:TKP917540 TUL917530:TUL917540 UEH917530:UEH917540 UOD917530:UOD917540 UXZ917530:UXZ917540 VHV917530:VHV917540 VRR917530:VRR917540 WBN917530:WBN917540 WLJ917530:WLJ917540 WVF917530:WVF917540 B983066:B983076 IT983066:IT983076 SP983066:SP983076 ACL983066:ACL983076 AMH983066:AMH983076 AWD983066:AWD983076 BFZ983066:BFZ983076 BPV983066:BPV983076 BZR983066:BZR983076 CJN983066:CJN983076 CTJ983066:CTJ983076 DDF983066:DDF983076 DNB983066:DNB983076 DWX983066:DWX983076 EGT983066:EGT983076 EQP983066:EQP983076 FAL983066:FAL983076 FKH983066:FKH983076 FUD983066:FUD983076 GDZ983066:GDZ983076 GNV983066:GNV983076 GXR983066:GXR983076 HHN983066:HHN983076 HRJ983066:HRJ983076 IBF983066:IBF983076 ILB983066:ILB983076 IUX983066:IUX983076 JET983066:JET983076 JOP983066:JOP983076 JYL983066:JYL983076 KIH983066:KIH983076 KSD983066:KSD983076 LBZ983066:LBZ983076 LLV983066:LLV983076 LVR983066:LVR983076 MFN983066:MFN983076 MPJ983066:MPJ983076 MZF983066:MZF983076 NJB983066:NJB983076 NSX983066:NSX983076 OCT983066:OCT983076 OMP983066:OMP983076 OWL983066:OWL983076 PGH983066:PGH983076 PQD983066:PQD983076 PZZ983066:PZZ983076 QJV983066:QJV983076 QTR983066:QTR983076 RDN983066:RDN983076 RNJ983066:RNJ983076 RXF983066:RXF983076 SHB983066:SHB983076 SQX983066:SQX983076 TAT983066:TAT983076 TKP983066:TKP983076 TUL983066:TUL983076 UEH983066:UEH983076 UOD983066:UOD983076 UXZ983066:UXZ983076 VHV983066:VHV983076 VRR983066:VRR983076 WBN983066:WBN983076 WLJ983066:WLJ983076 WVF983066:WVF983076 B6:B24 IT6:IT24 SP6:SP24 ACL6:ACL24 AMH6:AMH24 AWD6:AWD24 BFZ6:BFZ24 BPV6:BPV24 BZR6:BZR24 CJN6:CJN24 CTJ6:CTJ24 DDF6:DDF24 DNB6:DNB24 DWX6:DWX24 EGT6:EGT24 EQP6:EQP24 FAL6:FAL24 FKH6:FKH24 FUD6:FUD24 GDZ6:GDZ24 GNV6:GNV24 GXR6:GXR24 HHN6:HHN24 HRJ6:HRJ24 IBF6:IBF24 ILB6:ILB24 IUX6:IUX24 JET6:JET24 JOP6:JOP24 JYL6:JYL24 KIH6:KIH24 KSD6:KSD24 LBZ6:LBZ24 LLV6:LLV24 LVR6:LVR24 MFN6:MFN24 MPJ6:MPJ24 MZF6:MZF24 NJB6:NJB24 NSX6:NSX24 OCT6:OCT24 OMP6:OMP24 OWL6:OWL24 PGH6:PGH24 PQD6:PQD24 PZZ6:PZZ24 QJV6:QJV24 QTR6:QTR24 RDN6:RDN24 RNJ6:RNJ24 RXF6:RXF24 SHB6:SHB24 SQX6:SQX24 TAT6:TAT24 TKP6:TKP24 TUL6:TUL24 UEH6:UEH24 UOD6:UOD24 UXZ6:UXZ24 VHV6:VHV24 VRR6:VRR24 WBN6:WBN24 WLJ6:WLJ24 WVF6:WVF24 B65542:B65560 IT65542:IT65560 SP65542:SP65560 ACL65542:ACL65560 AMH65542:AMH65560 AWD65542:AWD65560 BFZ65542:BFZ65560 BPV65542:BPV65560 BZR65542:BZR65560 CJN65542:CJN65560 CTJ65542:CTJ65560 DDF65542:DDF65560 DNB65542:DNB65560 DWX65542:DWX65560 EGT65542:EGT65560 EQP65542:EQP65560 FAL65542:FAL65560 FKH65542:FKH65560 FUD65542:FUD65560 GDZ65542:GDZ65560 GNV65542:GNV65560 GXR65542:GXR65560 HHN65542:HHN65560 HRJ65542:HRJ65560 IBF65542:IBF65560 ILB65542:ILB65560 IUX65542:IUX65560 JET65542:JET65560 JOP65542:JOP65560 JYL65542:JYL65560 KIH65542:KIH65560 KSD65542:KSD65560 LBZ65542:LBZ65560 LLV65542:LLV65560 LVR65542:LVR65560 MFN65542:MFN65560 MPJ65542:MPJ65560 MZF65542:MZF65560 NJB65542:NJB65560 NSX65542:NSX65560 OCT65542:OCT65560 OMP65542:OMP65560 OWL65542:OWL65560 PGH65542:PGH65560 PQD65542:PQD65560 PZZ65542:PZZ65560 QJV65542:QJV65560 QTR65542:QTR65560 RDN65542:RDN65560 RNJ65542:RNJ65560 RXF65542:RXF65560 SHB65542:SHB65560 SQX65542:SQX65560 TAT65542:TAT65560 TKP65542:TKP65560 TUL65542:TUL65560 UEH65542:UEH65560 UOD65542:UOD65560 UXZ65542:UXZ65560 VHV65542:VHV65560 VRR65542:VRR65560 WBN65542:WBN65560 WLJ65542:WLJ65560 WVF65542:WVF65560 B131078:B131096 IT131078:IT131096 SP131078:SP131096 ACL131078:ACL131096 AMH131078:AMH131096 AWD131078:AWD131096 BFZ131078:BFZ131096 BPV131078:BPV131096 BZR131078:BZR131096 CJN131078:CJN131096 CTJ131078:CTJ131096 DDF131078:DDF131096 DNB131078:DNB131096 DWX131078:DWX131096 EGT131078:EGT131096 EQP131078:EQP131096 FAL131078:FAL131096 FKH131078:FKH131096 FUD131078:FUD131096 GDZ131078:GDZ131096 GNV131078:GNV131096 GXR131078:GXR131096 HHN131078:HHN131096 HRJ131078:HRJ131096 IBF131078:IBF131096 ILB131078:ILB131096 IUX131078:IUX131096 JET131078:JET131096 JOP131078:JOP131096 JYL131078:JYL131096 KIH131078:KIH131096 KSD131078:KSD131096 LBZ131078:LBZ131096 LLV131078:LLV131096 LVR131078:LVR131096 MFN131078:MFN131096 MPJ131078:MPJ131096 MZF131078:MZF131096 NJB131078:NJB131096 NSX131078:NSX131096 OCT131078:OCT131096 OMP131078:OMP131096 OWL131078:OWL131096 PGH131078:PGH131096 PQD131078:PQD131096 PZZ131078:PZZ131096 QJV131078:QJV131096 QTR131078:QTR131096 RDN131078:RDN131096 RNJ131078:RNJ131096 RXF131078:RXF131096 SHB131078:SHB131096 SQX131078:SQX131096 TAT131078:TAT131096 TKP131078:TKP131096 TUL131078:TUL131096 UEH131078:UEH131096 UOD131078:UOD131096 UXZ131078:UXZ131096 VHV131078:VHV131096 VRR131078:VRR131096 WBN131078:WBN131096 WLJ131078:WLJ131096 WVF131078:WVF131096 B196614:B196632 IT196614:IT196632 SP196614:SP196632 ACL196614:ACL196632 AMH196614:AMH196632 AWD196614:AWD196632 BFZ196614:BFZ196632 BPV196614:BPV196632 BZR196614:BZR196632 CJN196614:CJN196632 CTJ196614:CTJ196632 DDF196614:DDF196632 DNB196614:DNB196632 DWX196614:DWX196632 EGT196614:EGT196632 EQP196614:EQP196632 FAL196614:FAL196632 FKH196614:FKH196632 FUD196614:FUD196632 GDZ196614:GDZ196632 GNV196614:GNV196632 GXR196614:GXR196632 HHN196614:HHN196632 HRJ196614:HRJ196632 IBF196614:IBF196632 ILB196614:ILB196632 IUX196614:IUX196632 JET196614:JET196632 JOP196614:JOP196632 JYL196614:JYL196632 KIH196614:KIH196632 KSD196614:KSD196632 LBZ196614:LBZ196632 LLV196614:LLV196632 LVR196614:LVR196632 MFN196614:MFN196632 MPJ196614:MPJ196632 MZF196614:MZF196632 NJB196614:NJB196632 NSX196614:NSX196632 OCT196614:OCT196632 OMP196614:OMP196632 OWL196614:OWL196632 PGH196614:PGH196632 PQD196614:PQD196632 PZZ196614:PZZ196632 QJV196614:QJV196632 QTR196614:QTR196632 RDN196614:RDN196632 RNJ196614:RNJ196632 RXF196614:RXF196632 SHB196614:SHB196632 SQX196614:SQX196632 TAT196614:TAT196632 TKP196614:TKP196632 TUL196614:TUL196632 UEH196614:UEH196632 UOD196614:UOD196632 UXZ196614:UXZ196632 VHV196614:VHV196632 VRR196614:VRR196632 WBN196614:WBN196632 WLJ196614:WLJ196632 WVF196614:WVF196632 B262150:B262168 IT262150:IT262168 SP262150:SP262168 ACL262150:ACL262168 AMH262150:AMH262168 AWD262150:AWD262168 BFZ262150:BFZ262168 BPV262150:BPV262168 BZR262150:BZR262168 CJN262150:CJN262168 CTJ262150:CTJ262168 DDF262150:DDF262168 DNB262150:DNB262168 DWX262150:DWX262168 EGT262150:EGT262168 EQP262150:EQP262168 FAL262150:FAL262168 FKH262150:FKH262168 FUD262150:FUD262168 GDZ262150:GDZ262168 GNV262150:GNV262168 GXR262150:GXR262168 HHN262150:HHN262168 HRJ262150:HRJ262168 IBF262150:IBF262168 ILB262150:ILB262168 IUX262150:IUX262168 JET262150:JET262168 JOP262150:JOP262168 JYL262150:JYL262168 KIH262150:KIH262168 KSD262150:KSD262168 LBZ262150:LBZ262168 LLV262150:LLV262168 LVR262150:LVR262168 MFN262150:MFN262168 MPJ262150:MPJ262168 MZF262150:MZF262168 NJB262150:NJB262168 NSX262150:NSX262168 OCT262150:OCT262168 OMP262150:OMP262168 OWL262150:OWL262168 PGH262150:PGH262168 PQD262150:PQD262168 PZZ262150:PZZ262168 QJV262150:QJV262168 QTR262150:QTR262168 RDN262150:RDN262168 RNJ262150:RNJ262168 RXF262150:RXF262168 SHB262150:SHB262168 SQX262150:SQX262168 TAT262150:TAT262168 TKP262150:TKP262168 TUL262150:TUL262168 UEH262150:UEH262168 UOD262150:UOD262168 UXZ262150:UXZ262168 VHV262150:VHV262168 VRR262150:VRR262168 WBN262150:WBN262168 WLJ262150:WLJ262168 WVF262150:WVF262168 B327686:B327704 IT327686:IT327704 SP327686:SP327704 ACL327686:ACL327704 AMH327686:AMH327704 AWD327686:AWD327704 BFZ327686:BFZ327704 BPV327686:BPV327704 BZR327686:BZR327704 CJN327686:CJN327704 CTJ327686:CTJ327704 DDF327686:DDF327704 DNB327686:DNB327704 DWX327686:DWX327704 EGT327686:EGT327704 EQP327686:EQP327704 FAL327686:FAL327704 FKH327686:FKH327704 FUD327686:FUD327704 GDZ327686:GDZ327704 GNV327686:GNV327704 GXR327686:GXR327704 HHN327686:HHN327704 HRJ327686:HRJ327704 IBF327686:IBF327704 ILB327686:ILB327704 IUX327686:IUX327704 JET327686:JET327704 JOP327686:JOP327704 JYL327686:JYL327704 KIH327686:KIH327704 KSD327686:KSD327704 LBZ327686:LBZ327704 LLV327686:LLV327704 LVR327686:LVR327704 MFN327686:MFN327704 MPJ327686:MPJ327704 MZF327686:MZF327704 NJB327686:NJB327704 NSX327686:NSX327704 OCT327686:OCT327704 OMP327686:OMP327704 OWL327686:OWL327704 PGH327686:PGH327704 PQD327686:PQD327704 PZZ327686:PZZ327704 QJV327686:QJV327704 QTR327686:QTR327704 RDN327686:RDN327704 RNJ327686:RNJ327704 RXF327686:RXF327704 SHB327686:SHB327704 SQX327686:SQX327704 TAT327686:TAT327704 TKP327686:TKP327704 TUL327686:TUL327704 UEH327686:UEH327704 UOD327686:UOD327704 UXZ327686:UXZ327704 VHV327686:VHV327704 VRR327686:VRR327704 WBN327686:WBN327704 WLJ327686:WLJ327704 WVF327686:WVF327704 B393222:B393240 IT393222:IT393240 SP393222:SP393240 ACL393222:ACL393240 AMH393222:AMH393240 AWD393222:AWD393240 BFZ393222:BFZ393240 BPV393222:BPV393240 BZR393222:BZR393240 CJN393222:CJN393240 CTJ393222:CTJ393240 DDF393222:DDF393240 DNB393222:DNB393240 DWX393222:DWX393240 EGT393222:EGT393240 EQP393222:EQP393240 FAL393222:FAL393240 FKH393222:FKH393240 FUD393222:FUD393240 GDZ393222:GDZ393240 GNV393222:GNV393240 GXR393222:GXR393240 HHN393222:HHN393240 HRJ393222:HRJ393240 IBF393222:IBF393240 ILB393222:ILB393240 IUX393222:IUX393240 JET393222:JET393240 JOP393222:JOP393240 JYL393222:JYL393240 KIH393222:KIH393240 KSD393222:KSD393240 LBZ393222:LBZ393240 LLV393222:LLV393240 LVR393222:LVR393240 MFN393222:MFN393240 MPJ393222:MPJ393240 MZF393222:MZF393240 NJB393222:NJB393240 NSX393222:NSX393240 OCT393222:OCT393240 OMP393222:OMP393240 OWL393222:OWL393240 PGH393222:PGH393240 PQD393222:PQD393240 PZZ393222:PZZ393240 QJV393222:QJV393240 QTR393222:QTR393240 RDN393222:RDN393240 RNJ393222:RNJ393240 RXF393222:RXF393240 SHB393222:SHB393240 SQX393222:SQX393240 TAT393222:TAT393240 TKP393222:TKP393240 TUL393222:TUL393240 UEH393222:UEH393240 UOD393222:UOD393240 UXZ393222:UXZ393240 VHV393222:VHV393240 VRR393222:VRR393240 WBN393222:WBN393240 WLJ393222:WLJ393240 WVF393222:WVF393240 B458758:B458776 IT458758:IT458776 SP458758:SP458776 ACL458758:ACL458776 AMH458758:AMH458776 AWD458758:AWD458776 BFZ458758:BFZ458776 BPV458758:BPV458776 BZR458758:BZR458776 CJN458758:CJN458776 CTJ458758:CTJ458776 DDF458758:DDF458776 DNB458758:DNB458776 DWX458758:DWX458776 EGT458758:EGT458776 EQP458758:EQP458776 FAL458758:FAL458776 FKH458758:FKH458776 FUD458758:FUD458776 GDZ458758:GDZ458776 GNV458758:GNV458776 GXR458758:GXR458776 HHN458758:HHN458776 HRJ458758:HRJ458776 IBF458758:IBF458776 ILB458758:ILB458776 IUX458758:IUX458776 JET458758:JET458776 JOP458758:JOP458776 JYL458758:JYL458776 KIH458758:KIH458776 KSD458758:KSD458776 LBZ458758:LBZ458776 LLV458758:LLV458776 LVR458758:LVR458776 MFN458758:MFN458776 MPJ458758:MPJ458776 MZF458758:MZF458776 NJB458758:NJB458776 NSX458758:NSX458776 OCT458758:OCT458776 OMP458758:OMP458776 OWL458758:OWL458776 PGH458758:PGH458776 PQD458758:PQD458776 PZZ458758:PZZ458776 QJV458758:QJV458776 QTR458758:QTR458776 RDN458758:RDN458776 RNJ458758:RNJ458776 RXF458758:RXF458776 SHB458758:SHB458776 SQX458758:SQX458776 TAT458758:TAT458776 TKP458758:TKP458776 TUL458758:TUL458776 UEH458758:UEH458776 UOD458758:UOD458776 UXZ458758:UXZ458776 VHV458758:VHV458776 VRR458758:VRR458776 WBN458758:WBN458776 WLJ458758:WLJ458776 WVF458758:WVF458776 B524294:B524312 IT524294:IT524312 SP524294:SP524312 ACL524294:ACL524312 AMH524294:AMH524312 AWD524294:AWD524312 BFZ524294:BFZ524312 BPV524294:BPV524312 BZR524294:BZR524312 CJN524294:CJN524312 CTJ524294:CTJ524312 DDF524294:DDF524312 DNB524294:DNB524312 DWX524294:DWX524312 EGT524294:EGT524312 EQP524294:EQP524312 FAL524294:FAL524312 FKH524294:FKH524312 FUD524294:FUD524312 GDZ524294:GDZ524312 GNV524294:GNV524312 GXR524294:GXR524312 HHN524294:HHN524312 HRJ524294:HRJ524312 IBF524294:IBF524312 ILB524294:ILB524312 IUX524294:IUX524312 JET524294:JET524312 JOP524294:JOP524312 JYL524294:JYL524312 KIH524294:KIH524312 KSD524294:KSD524312 LBZ524294:LBZ524312 LLV524294:LLV524312 LVR524294:LVR524312 MFN524294:MFN524312 MPJ524294:MPJ524312 MZF524294:MZF524312 NJB524294:NJB524312 NSX524294:NSX524312 OCT524294:OCT524312 OMP524294:OMP524312 OWL524294:OWL524312 PGH524294:PGH524312 PQD524294:PQD524312 PZZ524294:PZZ524312 QJV524294:QJV524312 QTR524294:QTR524312 RDN524294:RDN524312 RNJ524294:RNJ524312 RXF524294:RXF524312 SHB524294:SHB524312 SQX524294:SQX524312 TAT524294:TAT524312 TKP524294:TKP524312 TUL524294:TUL524312 UEH524294:UEH524312 UOD524294:UOD524312 UXZ524294:UXZ524312 VHV524294:VHV524312 VRR524294:VRR524312 WBN524294:WBN524312 WLJ524294:WLJ524312 WVF524294:WVF524312 B589830:B589848 IT589830:IT589848 SP589830:SP589848 ACL589830:ACL589848 AMH589830:AMH589848 AWD589830:AWD589848 BFZ589830:BFZ589848 BPV589830:BPV589848 BZR589830:BZR589848 CJN589830:CJN589848 CTJ589830:CTJ589848 DDF589830:DDF589848 DNB589830:DNB589848 DWX589830:DWX589848 EGT589830:EGT589848 EQP589830:EQP589848 FAL589830:FAL589848 FKH589830:FKH589848 FUD589830:FUD589848 GDZ589830:GDZ589848 GNV589830:GNV589848 GXR589830:GXR589848 HHN589830:HHN589848 HRJ589830:HRJ589848 IBF589830:IBF589848 ILB589830:ILB589848 IUX589830:IUX589848 JET589830:JET589848 JOP589830:JOP589848 JYL589830:JYL589848 KIH589830:KIH589848 KSD589830:KSD589848 LBZ589830:LBZ589848 LLV589830:LLV589848 LVR589830:LVR589848 MFN589830:MFN589848 MPJ589830:MPJ589848 MZF589830:MZF589848 NJB589830:NJB589848 NSX589830:NSX589848 OCT589830:OCT589848 OMP589830:OMP589848 OWL589830:OWL589848 PGH589830:PGH589848 PQD589830:PQD589848 PZZ589830:PZZ589848 QJV589830:QJV589848 QTR589830:QTR589848 RDN589830:RDN589848 RNJ589830:RNJ589848 RXF589830:RXF589848 SHB589830:SHB589848 SQX589830:SQX589848 TAT589830:TAT589848 TKP589830:TKP589848 TUL589830:TUL589848 UEH589830:UEH589848 UOD589830:UOD589848 UXZ589830:UXZ589848 VHV589830:VHV589848 VRR589830:VRR589848 WBN589830:WBN589848 WLJ589830:WLJ589848 WVF589830:WVF589848 B655366:B655384 IT655366:IT655384 SP655366:SP655384 ACL655366:ACL655384 AMH655366:AMH655384 AWD655366:AWD655384 BFZ655366:BFZ655384 BPV655366:BPV655384 BZR655366:BZR655384 CJN655366:CJN655384 CTJ655366:CTJ655384 DDF655366:DDF655384 DNB655366:DNB655384 DWX655366:DWX655384 EGT655366:EGT655384 EQP655366:EQP655384 FAL655366:FAL655384 FKH655366:FKH655384 FUD655366:FUD655384 GDZ655366:GDZ655384 GNV655366:GNV655384 GXR655366:GXR655384 HHN655366:HHN655384 HRJ655366:HRJ655384 IBF655366:IBF655384 ILB655366:ILB655384 IUX655366:IUX655384 JET655366:JET655384 JOP655366:JOP655384 JYL655366:JYL655384 KIH655366:KIH655384 KSD655366:KSD655384 LBZ655366:LBZ655384 LLV655366:LLV655384 LVR655366:LVR655384 MFN655366:MFN655384 MPJ655366:MPJ655384 MZF655366:MZF655384 NJB655366:NJB655384 NSX655366:NSX655384 OCT655366:OCT655384 OMP655366:OMP655384 OWL655366:OWL655384 PGH655366:PGH655384 PQD655366:PQD655384 PZZ655366:PZZ655384 QJV655366:QJV655384 QTR655366:QTR655384 RDN655366:RDN655384 RNJ655366:RNJ655384 RXF655366:RXF655384 SHB655366:SHB655384 SQX655366:SQX655384 TAT655366:TAT655384 TKP655366:TKP655384 TUL655366:TUL655384 UEH655366:UEH655384 UOD655366:UOD655384 UXZ655366:UXZ655384 VHV655366:VHV655384 VRR655366:VRR655384 WBN655366:WBN655384 WLJ655366:WLJ655384 WVF655366:WVF655384 B720902:B720920 IT720902:IT720920 SP720902:SP720920 ACL720902:ACL720920 AMH720902:AMH720920 AWD720902:AWD720920 BFZ720902:BFZ720920 BPV720902:BPV720920 BZR720902:BZR720920 CJN720902:CJN720920 CTJ720902:CTJ720920 DDF720902:DDF720920 DNB720902:DNB720920 DWX720902:DWX720920 EGT720902:EGT720920 EQP720902:EQP720920 FAL720902:FAL720920 FKH720902:FKH720920 FUD720902:FUD720920 GDZ720902:GDZ720920 GNV720902:GNV720920 GXR720902:GXR720920 HHN720902:HHN720920 HRJ720902:HRJ720920 IBF720902:IBF720920 ILB720902:ILB720920 IUX720902:IUX720920 JET720902:JET720920 JOP720902:JOP720920 JYL720902:JYL720920 KIH720902:KIH720920 KSD720902:KSD720920 LBZ720902:LBZ720920 LLV720902:LLV720920 LVR720902:LVR720920 MFN720902:MFN720920 MPJ720902:MPJ720920 MZF720902:MZF720920 NJB720902:NJB720920 NSX720902:NSX720920 OCT720902:OCT720920 OMP720902:OMP720920 OWL720902:OWL720920 PGH720902:PGH720920 PQD720902:PQD720920 PZZ720902:PZZ720920 QJV720902:QJV720920 QTR720902:QTR720920 RDN720902:RDN720920 RNJ720902:RNJ720920 RXF720902:RXF720920 SHB720902:SHB720920 SQX720902:SQX720920 TAT720902:TAT720920 TKP720902:TKP720920 TUL720902:TUL720920 UEH720902:UEH720920 UOD720902:UOD720920 UXZ720902:UXZ720920 VHV720902:VHV720920 VRR720902:VRR720920 WBN720902:WBN720920 WLJ720902:WLJ720920 WVF720902:WVF720920 B786438:B786456 IT786438:IT786456 SP786438:SP786456 ACL786438:ACL786456 AMH786438:AMH786456 AWD786438:AWD786456 BFZ786438:BFZ786456 BPV786438:BPV786456 BZR786438:BZR786456 CJN786438:CJN786456 CTJ786438:CTJ786456 DDF786438:DDF786456 DNB786438:DNB786456 DWX786438:DWX786456 EGT786438:EGT786456 EQP786438:EQP786456 FAL786438:FAL786456 FKH786438:FKH786456 FUD786438:FUD786456 GDZ786438:GDZ786456 GNV786438:GNV786456 GXR786438:GXR786456 HHN786438:HHN786456 HRJ786438:HRJ786456 IBF786438:IBF786456 ILB786438:ILB786456 IUX786438:IUX786456 JET786438:JET786456 JOP786438:JOP786456 JYL786438:JYL786456 KIH786438:KIH786456 KSD786438:KSD786456 LBZ786438:LBZ786456 LLV786438:LLV786456 LVR786438:LVR786456 MFN786438:MFN786456 MPJ786438:MPJ786456 MZF786438:MZF786456 NJB786438:NJB786456 NSX786438:NSX786456 OCT786438:OCT786456 OMP786438:OMP786456 OWL786438:OWL786456 PGH786438:PGH786456 PQD786438:PQD786456 PZZ786438:PZZ786456 QJV786438:QJV786456 QTR786438:QTR786456 RDN786438:RDN786456 RNJ786438:RNJ786456 RXF786438:RXF786456 SHB786438:SHB786456 SQX786438:SQX786456 TAT786438:TAT786456 TKP786438:TKP786456 TUL786438:TUL786456 UEH786438:UEH786456 UOD786438:UOD786456 UXZ786438:UXZ786456 VHV786438:VHV786456 VRR786438:VRR786456 WBN786438:WBN786456 WLJ786438:WLJ786456 WVF786438:WVF786456 B851974:B851992 IT851974:IT851992 SP851974:SP851992 ACL851974:ACL851992 AMH851974:AMH851992 AWD851974:AWD851992 BFZ851974:BFZ851992 BPV851974:BPV851992 BZR851974:BZR851992 CJN851974:CJN851992 CTJ851974:CTJ851992 DDF851974:DDF851992 DNB851974:DNB851992 DWX851974:DWX851992 EGT851974:EGT851992 EQP851974:EQP851992 FAL851974:FAL851992 FKH851974:FKH851992 FUD851974:FUD851992 GDZ851974:GDZ851992 GNV851974:GNV851992 GXR851974:GXR851992 HHN851974:HHN851992 HRJ851974:HRJ851992 IBF851974:IBF851992 ILB851974:ILB851992 IUX851974:IUX851992 JET851974:JET851992 JOP851974:JOP851992 JYL851974:JYL851992 KIH851974:KIH851992 KSD851974:KSD851992 LBZ851974:LBZ851992 LLV851974:LLV851992 LVR851974:LVR851992 MFN851974:MFN851992 MPJ851974:MPJ851992 MZF851974:MZF851992 NJB851974:NJB851992 NSX851974:NSX851992 OCT851974:OCT851992 OMP851974:OMP851992 OWL851974:OWL851992 PGH851974:PGH851992 PQD851974:PQD851992 PZZ851974:PZZ851992 QJV851974:QJV851992 QTR851974:QTR851992 RDN851974:RDN851992 RNJ851974:RNJ851992 RXF851974:RXF851992 SHB851974:SHB851992 SQX851974:SQX851992 TAT851974:TAT851992 TKP851974:TKP851992 TUL851974:TUL851992 UEH851974:UEH851992 UOD851974:UOD851992 UXZ851974:UXZ851992 VHV851974:VHV851992 VRR851974:VRR851992 WBN851974:WBN851992 WLJ851974:WLJ851992 WVF851974:WVF851992 B917510:B917528 IT917510:IT917528 SP917510:SP917528 ACL917510:ACL917528 AMH917510:AMH917528 AWD917510:AWD917528 BFZ917510:BFZ917528 BPV917510:BPV917528 BZR917510:BZR917528 CJN917510:CJN917528 CTJ917510:CTJ917528 DDF917510:DDF917528 DNB917510:DNB917528 DWX917510:DWX917528 EGT917510:EGT917528 EQP917510:EQP917528 FAL917510:FAL917528 FKH917510:FKH917528 FUD917510:FUD917528 GDZ917510:GDZ917528 GNV917510:GNV917528 GXR917510:GXR917528 HHN917510:HHN917528 HRJ917510:HRJ917528 IBF917510:IBF917528 ILB917510:ILB917528 IUX917510:IUX917528 JET917510:JET917528 JOP917510:JOP917528 JYL917510:JYL917528 KIH917510:KIH917528 KSD917510:KSD917528 LBZ917510:LBZ917528 LLV917510:LLV917528 LVR917510:LVR917528 MFN917510:MFN917528 MPJ917510:MPJ917528 MZF917510:MZF917528 NJB917510:NJB917528 NSX917510:NSX917528 OCT917510:OCT917528 OMP917510:OMP917528 OWL917510:OWL917528 PGH917510:PGH917528 PQD917510:PQD917528 PZZ917510:PZZ917528 QJV917510:QJV917528 QTR917510:QTR917528 RDN917510:RDN917528 RNJ917510:RNJ917528 RXF917510:RXF917528 SHB917510:SHB917528 SQX917510:SQX917528 TAT917510:TAT917528 TKP917510:TKP917528 TUL917510:TUL917528 UEH917510:UEH917528 UOD917510:UOD917528 UXZ917510:UXZ917528 VHV917510:VHV917528 VRR917510:VRR917528 WBN917510:WBN917528 WLJ917510:WLJ917528 WVF917510:WVF917528 B983046:B983064 IT983046:IT983064 SP983046:SP983064 ACL983046:ACL983064 AMH983046:AMH983064 AWD983046:AWD983064 BFZ983046:BFZ983064 BPV983046:BPV983064 BZR983046:BZR983064 CJN983046:CJN983064 CTJ983046:CTJ983064 DDF983046:DDF983064 DNB983046:DNB983064 DWX983046:DWX983064 EGT983046:EGT983064 EQP983046:EQP983064 FAL983046:FAL983064 FKH983046:FKH983064 FUD983046:FUD983064 GDZ983046:GDZ983064 GNV983046:GNV983064 GXR983046:GXR983064 HHN983046:HHN983064 HRJ983046:HRJ983064 IBF983046:IBF983064 ILB983046:ILB983064 IUX983046:IUX983064 JET983046:JET983064 JOP983046:JOP983064 JYL983046:JYL983064 KIH983046:KIH983064 KSD983046:KSD983064 LBZ983046:LBZ983064 LLV983046:LLV983064 LVR983046:LVR983064 MFN983046:MFN983064 MPJ983046:MPJ983064 MZF983046:MZF983064 NJB983046:NJB983064 NSX983046:NSX983064 OCT983046:OCT983064 OMP983046:OMP983064 OWL983046:OWL983064 PGH983046:PGH983064 PQD983046:PQD983064 PZZ983046:PZZ983064 QJV983046:QJV983064 QTR983046:QTR983064 RDN983046:RDN983064 RNJ983046:RNJ983064 RXF983046:RXF983064 SHB983046:SHB983064 SQX983046:SQX983064 TAT983046:TAT983064 TKP983046:TKP983064 TUL983046:TUL983064 UEH983046:UEH983064 UOD983046:UOD983064 UXZ983046:UXZ983064 VHV983046:VHV983064 VRR983046:VRR983064 WBN983046:WBN983064 WLJ983046:WLJ983064 WVF983046:WVF983064 B38:B45 IT38:IT45 SP38:SP45 ACL38:ACL45 AMH38:AMH45 AWD38:AWD45 BFZ38:BFZ45 BPV38:BPV45 BZR38:BZR45 CJN38:CJN45 CTJ38:CTJ45 DDF38:DDF45 DNB38:DNB45 DWX38:DWX45 EGT38:EGT45 EQP38:EQP45 FAL38:FAL45 FKH38:FKH45 FUD38:FUD45 GDZ38:GDZ45 GNV38:GNV45 GXR38:GXR45 HHN38:HHN45 HRJ38:HRJ45 IBF38:IBF45 ILB38:ILB45 IUX38:IUX45 JET38:JET45 JOP38:JOP45 JYL38:JYL45 KIH38:KIH45 KSD38:KSD45 LBZ38:LBZ45 LLV38:LLV45 LVR38:LVR45 MFN38:MFN45 MPJ38:MPJ45 MZF38:MZF45 NJB38:NJB45 NSX38:NSX45 OCT38:OCT45 OMP38:OMP45 OWL38:OWL45 PGH38:PGH45 PQD38:PQD45 PZZ38:PZZ45 QJV38:QJV45 QTR38:QTR45 RDN38:RDN45 RNJ38:RNJ45 RXF38:RXF45 SHB38:SHB45 SQX38:SQX45 TAT38:TAT45 TKP38:TKP45 TUL38:TUL45 UEH38:UEH45 UOD38:UOD45 UXZ38:UXZ45 VHV38:VHV45 VRR38:VRR45 WBN38:WBN45 WLJ38:WLJ45 WVF38:WVF45 B65574:B65581 IT65574:IT65581 SP65574:SP65581 ACL65574:ACL65581 AMH65574:AMH65581 AWD65574:AWD65581 BFZ65574:BFZ65581 BPV65574:BPV65581 BZR65574:BZR65581 CJN65574:CJN65581 CTJ65574:CTJ65581 DDF65574:DDF65581 DNB65574:DNB65581 DWX65574:DWX65581 EGT65574:EGT65581 EQP65574:EQP65581 FAL65574:FAL65581 FKH65574:FKH65581 FUD65574:FUD65581 GDZ65574:GDZ65581 GNV65574:GNV65581 GXR65574:GXR65581 HHN65574:HHN65581 HRJ65574:HRJ65581 IBF65574:IBF65581 ILB65574:ILB65581 IUX65574:IUX65581 JET65574:JET65581 JOP65574:JOP65581 JYL65574:JYL65581 KIH65574:KIH65581 KSD65574:KSD65581 LBZ65574:LBZ65581 LLV65574:LLV65581 LVR65574:LVR65581 MFN65574:MFN65581 MPJ65574:MPJ65581 MZF65574:MZF65581 NJB65574:NJB65581 NSX65574:NSX65581 OCT65574:OCT65581 OMP65574:OMP65581 OWL65574:OWL65581 PGH65574:PGH65581 PQD65574:PQD65581 PZZ65574:PZZ65581 QJV65574:QJV65581 QTR65574:QTR65581 RDN65574:RDN65581 RNJ65574:RNJ65581 RXF65574:RXF65581 SHB65574:SHB65581 SQX65574:SQX65581 TAT65574:TAT65581 TKP65574:TKP65581 TUL65574:TUL65581 UEH65574:UEH65581 UOD65574:UOD65581 UXZ65574:UXZ65581 VHV65574:VHV65581 VRR65574:VRR65581 WBN65574:WBN65581 WLJ65574:WLJ65581 WVF65574:WVF65581 B131110:B131117 IT131110:IT131117 SP131110:SP131117 ACL131110:ACL131117 AMH131110:AMH131117 AWD131110:AWD131117 BFZ131110:BFZ131117 BPV131110:BPV131117 BZR131110:BZR131117 CJN131110:CJN131117 CTJ131110:CTJ131117 DDF131110:DDF131117 DNB131110:DNB131117 DWX131110:DWX131117 EGT131110:EGT131117 EQP131110:EQP131117 FAL131110:FAL131117 FKH131110:FKH131117 FUD131110:FUD131117 GDZ131110:GDZ131117 GNV131110:GNV131117 GXR131110:GXR131117 HHN131110:HHN131117 HRJ131110:HRJ131117 IBF131110:IBF131117 ILB131110:ILB131117 IUX131110:IUX131117 JET131110:JET131117 JOP131110:JOP131117 JYL131110:JYL131117 KIH131110:KIH131117 KSD131110:KSD131117 LBZ131110:LBZ131117 LLV131110:LLV131117 LVR131110:LVR131117 MFN131110:MFN131117 MPJ131110:MPJ131117 MZF131110:MZF131117 NJB131110:NJB131117 NSX131110:NSX131117 OCT131110:OCT131117 OMP131110:OMP131117 OWL131110:OWL131117 PGH131110:PGH131117 PQD131110:PQD131117 PZZ131110:PZZ131117 QJV131110:QJV131117 QTR131110:QTR131117 RDN131110:RDN131117 RNJ131110:RNJ131117 RXF131110:RXF131117 SHB131110:SHB131117 SQX131110:SQX131117 TAT131110:TAT131117 TKP131110:TKP131117 TUL131110:TUL131117 UEH131110:UEH131117 UOD131110:UOD131117 UXZ131110:UXZ131117 VHV131110:VHV131117 VRR131110:VRR131117 WBN131110:WBN131117 WLJ131110:WLJ131117 WVF131110:WVF131117 B196646:B196653 IT196646:IT196653 SP196646:SP196653 ACL196646:ACL196653 AMH196646:AMH196653 AWD196646:AWD196653 BFZ196646:BFZ196653 BPV196646:BPV196653 BZR196646:BZR196653 CJN196646:CJN196653 CTJ196646:CTJ196653 DDF196646:DDF196653 DNB196646:DNB196653 DWX196646:DWX196653 EGT196646:EGT196653 EQP196646:EQP196653 FAL196646:FAL196653 FKH196646:FKH196653 FUD196646:FUD196653 GDZ196646:GDZ196653 GNV196646:GNV196653 GXR196646:GXR196653 HHN196646:HHN196653 HRJ196646:HRJ196653 IBF196646:IBF196653 ILB196646:ILB196653 IUX196646:IUX196653 JET196646:JET196653 JOP196646:JOP196653 JYL196646:JYL196653 KIH196646:KIH196653 KSD196646:KSD196653 LBZ196646:LBZ196653 LLV196646:LLV196653 LVR196646:LVR196653 MFN196646:MFN196653 MPJ196646:MPJ196653 MZF196646:MZF196653 NJB196646:NJB196653 NSX196646:NSX196653 OCT196646:OCT196653 OMP196646:OMP196653 OWL196646:OWL196653 PGH196646:PGH196653 PQD196646:PQD196653 PZZ196646:PZZ196653 QJV196646:QJV196653 QTR196646:QTR196653 RDN196646:RDN196653 RNJ196646:RNJ196653 RXF196646:RXF196653 SHB196646:SHB196653 SQX196646:SQX196653 TAT196646:TAT196653 TKP196646:TKP196653 TUL196646:TUL196653 UEH196646:UEH196653 UOD196646:UOD196653 UXZ196646:UXZ196653 VHV196646:VHV196653 VRR196646:VRR196653 WBN196646:WBN196653 WLJ196646:WLJ196653 WVF196646:WVF196653 B262182:B262189 IT262182:IT262189 SP262182:SP262189 ACL262182:ACL262189 AMH262182:AMH262189 AWD262182:AWD262189 BFZ262182:BFZ262189 BPV262182:BPV262189 BZR262182:BZR262189 CJN262182:CJN262189 CTJ262182:CTJ262189 DDF262182:DDF262189 DNB262182:DNB262189 DWX262182:DWX262189 EGT262182:EGT262189 EQP262182:EQP262189 FAL262182:FAL262189 FKH262182:FKH262189 FUD262182:FUD262189 GDZ262182:GDZ262189 GNV262182:GNV262189 GXR262182:GXR262189 HHN262182:HHN262189 HRJ262182:HRJ262189 IBF262182:IBF262189 ILB262182:ILB262189 IUX262182:IUX262189 JET262182:JET262189 JOP262182:JOP262189 JYL262182:JYL262189 KIH262182:KIH262189 KSD262182:KSD262189 LBZ262182:LBZ262189 LLV262182:LLV262189 LVR262182:LVR262189 MFN262182:MFN262189 MPJ262182:MPJ262189 MZF262182:MZF262189 NJB262182:NJB262189 NSX262182:NSX262189 OCT262182:OCT262189 OMP262182:OMP262189 OWL262182:OWL262189 PGH262182:PGH262189 PQD262182:PQD262189 PZZ262182:PZZ262189 QJV262182:QJV262189 QTR262182:QTR262189 RDN262182:RDN262189 RNJ262182:RNJ262189 RXF262182:RXF262189 SHB262182:SHB262189 SQX262182:SQX262189 TAT262182:TAT262189 TKP262182:TKP262189 TUL262182:TUL262189 UEH262182:UEH262189 UOD262182:UOD262189 UXZ262182:UXZ262189 VHV262182:VHV262189 VRR262182:VRR262189 WBN262182:WBN262189 WLJ262182:WLJ262189 WVF262182:WVF262189 B327718:B327725 IT327718:IT327725 SP327718:SP327725 ACL327718:ACL327725 AMH327718:AMH327725 AWD327718:AWD327725 BFZ327718:BFZ327725 BPV327718:BPV327725 BZR327718:BZR327725 CJN327718:CJN327725 CTJ327718:CTJ327725 DDF327718:DDF327725 DNB327718:DNB327725 DWX327718:DWX327725 EGT327718:EGT327725 EQP327718:EQP327725 FAL327718:FAL327725 FKH327718:FKH327725 FUD327718:FUD327725 GDZ327718:GDZ327725 GNV327718:GNV327725 GXR327718:GXR327725 HHN327718:HHN327725 HRJ327718:HRJ327725 IBF327718:IBF327725 ILB327718:ILB327725 IUX327718:IUX327725 JET327718:JET327725 JOP327718:JOP327725 JYL327718:JYL327725 KIH327718:KIH327725 KSD327718:KSD327725 LBZ327718:LBZ327725 LLV327718:LLV327725 LVR327718:LVR327725 MFN327718:MFN327725 MPJ327718:MPJ327725 MZF327718:MZF327725 NJB327718:NJB327725 NSX327718:NSX327725 OCT327718:OCT327725 OMP327718:OMP327725 OWL327718:OWL327725 PGH327718:PGH327725 PQD327718:PQD327725 PZZ327718:PZZ327725 QJV327718:QJV327725 QTR327718:QTR327725 RDN327718:RDN327725 RNJ327718:RNJ327725 RXF327718:RXF327725 SHB327718:SHB327725 SQX327718:SQX327725 TAT327718:TAT327725 TKP327718:TKP327725 TUL327718:TUL327725 UEH327718:UEH327725 UOD327718:UOD327725 UXZ327718:UXZ327725 VHV327718:VHV327725 VRR327718:VRR327725 WBN327718:WBN327725 WLJ327718:WLJ327725 WVF327718:WVF327725 B393254:B393261 IT393254:IT393261 SP393254:SP393261 ACL393254:ACL393261 AMH393254:AMH393261 AWD393254:AWD393261 BFZ393254:BFZ393261 BPV393254:BPV393261 BZR393254:BZR393261 CJN393254:CJN393261 CTJ393254:CTJ393261 DDF393254:DDF393261 DNB393254:DNB393261 DWX393254:DWX393261 EGT393254:EGT393261 EQP393254:EQP393261 FAL393254:FAL393261 FKH393254:FKH393261 FUD393254:FUD393261 GDZ393254:GDZ393261 GNV393254:GNV393261 GXR393254:GXR393261 HHN393254:HHN393261 HRJ393254:HRJ393261 IBF393254:IBF393261 ILB393254:ILB393261 IUX393254:IUX393261 JET393254:JET393261 JOP393254:JOP393261 JYL393254:JYL393261 KIH393254:KIH393261 KSD393254:KSD393261 LBZ393254:LBZ393261 LLV393254:LLV393261 LVR393254:LVR393261 MFN393254:MFN393261 MPJ393254:MPJ393261 MZF393254:MZF393261 NJB393254:NJB393261 NSX393254:NSX393261 OCT393254:OCT393261 OMP393254:OMP393261 OWL393254:OWL393261 PGH393254:PGH393261 PQD393254:PQD393261 PZZ393254:PZZ393261 QJV393254:QJV393261 QTR393254:QTR393261 RDN393254:RDN393261 RNJ393254:RNJ393261 RXF393254:RXF393261 SHB393254:SHB393261 SQX393254:SQX393261 TAT393254:TAT393261 TKP393254:TKP393261 TUL393254:TUL393261 UEH393254:UEH393261 UOD393254:UOD393261 UXZ393254:UXZ393261 VHV393254:VHV393261 VRR393254:VRR393261 WBN393254:WBN393261 WLJ393254:WLJ393261 WVF393254:WVF393261 B458790:B458797 IT458790:IT458797 SP458790:SP458797 ACL458790:ACL458797 AMH458790:AMH458797 AWD458790:AWD458797 BFZ458790:BFZ458797 BPV458790:BPV458797 BZR458790:BZR458797 CJN458790:CJN458797 CTJ458790:CTJ458797 DDF458790:DDF458797 DNB458790:DNB458797 DWX458790:DWX458797 EGT458790:EGT458797 EQP458790:EQP458797 FAL458790:FAL458797 FKH458790:FKH458797 FUD458790:FUD458797 GDZ458790:GDZ458797 GNV458790:GNV458797 GXR458790:GXR458797 HHN458790:HHN458797 HRJ458790:HRJ458797 IBF458790:IBF458797 ILB458790:ILB458797 IUX458790:IUX458797 JET458790:JET458797 JOP458790:JOP458797 JYL458790:JYL458797 KIH458790:KIH458797 KSD458790:KSD458797 LBZ458790:LBZ458797 LLV458790:LLV458797 LVR458790:LVR458797 MFN458790:MFN458797 MPJ458790:MPJ458797 MZF458790:MZF458797 NJB458790:NJB458797 NSX458790:NSX458797 OCT458790:OCT458797 OMP458790:OMP458797 OWL458790:OWL458797 PGH458790:PGH458797 PQD458790:PQD458797 PZZ458790:PZZ458797 QJV458790:QJV458797 QTR458790:QTR458797 RDN458790:RDN458797 RNJ458790:RNJ458797 RXF458790:RXF458797 SHB458790:SHB458797 SQX458790:SQX458797 TAT458790:TAT458797 TKP458790:TKP458797 TUL458790:TUL458797 UEH458790:UEH458797 UOD458790:UOD458797 UXZ458790:UXZ458797 VHV458790:VHV458797 VRR458790:VRR458797 WBN458790:WBN458797 WLJ458790:WLJ458797 WVF458790:WVF458797 B524326:B524333 IT524326:IT524333 SP524326:SP524333 ACL524326:ACL524333 AMH524326:AMH524333 AWD524326:AWD524333 BFZ524326:BFZ524333 BPV524326:BPV524333 BZR524326:BZR524333 CJN524326:CJN524333 CTJ524326:CTJ524333 DDF524326:DDF524333 DNB524326:DNB524333 DWX524326:DWX524333 EGT524326:EGT524333 EQP524326:EQP524333 FAL524326:FAL524333 FKH524326:FKH524333 FUD524326:FUD524333 GDZ524326:GDZ524333 GNV524326:GNV524333 GXR524326:GXR524333 HHN524326:HHN524333 HRJ524326:HRJ524333 IBF524326:IBF524333 ILB524326:ILB524333 IUX524326:IUX524333 JET524326:JET524333 JOP524326:JOP524333 JYL524326:JYL524333 KIH524326:KIH524333 KSD524326:KSD524333 LBZ524326:LBZ524333 LLV524326:LLV524333 LVR524326:LVR524333 MFN524326:MFN524333 MPJ524326:MPJ524333 MZF524326:MZF524333 NJB524326:NJB524333 NSX524326:NSX524333 OCT524326:OCT524333 OMP524326:OMP524333 OWL524326:OWL524333 PGH524326:PGH524333 PQD524326:PQD524333 PZZ524326:PZZ524333 QJV524326:QJV524333 QTR524326:QTR524333 RDN524326:RDN524333 RNJ524326:RNJ524333 RXF524326:RXF524333 SHB524326:SHB524333 SQX524326:SQX524333 TAT524326:TAT524333 TKP524326:TKP524333 TUL524326:TUL524333 UEH524326:UEH524333 UOD524326:UOD524333 UXZ524326:UXZ524333 VHV524326:VHV524333 VRR524326:VRR524333 WBN524326:WBN524333 WLJ524326:WLJ524333 WVF524326:WVF524333 B589862:B589869 IT589862:IT589869 SP589862:SP589869 ACL589862:ACL589869 AMH589862:AMH589869 AWD589862:AWD589869 BFZ589862:BFZ589869 BPV589862:BPV589869 BZR589862:BZR589869 CJN589862:CJN589869 CTJ589862:CTJ589869 DDF589862:DDF589869 DNB589862:DNB589869 DWX589862:DWX589869 EGT589862:EGT589869 EQP589862:EQP589869 FAL589862:FAL589869 FKH589862:FKH589869 FUD589862:FUD589869 GDZ589862:GDZ589869 GNV589862:GNV589869 GXR589862:GXR589869 HHN589862:HHN589869 HRJ589862:HRJ589869 IBF589862:IBF589869 ILB589862:ILB589869 IUX589862:IUX589869 JET589862:JET589869 JOP589862:JOP589869 JYL589862:JYL589869 KIH589862:KIH589869 KSD589862:KSD589869 LBZ589862:LBZ589869 LLV589862:LLV589869 LVR589862:LVR589869 MFN589862:MFN589869 MPJ589862:MPJ589869 MZF589862:MZF589869 NJB589862:NJB589869 NSX589862:NSX589869 OCT589862:OCT589869 OMP589862:OMP589869 OWL589862:OWL589869 PGH589862:PGH589869 PQD589862:PQD589869 PZZ589862:PZZ589869 QJV589862:QJV589869 QTR589862:QTR589869 RDN589862:RDN589869 RNJ589862:RNJ589869 RXF589862:RXF589869 SHB589862:SHB589869 SQX589862:SQX589869 TAT589862:TAT589869 TKP589862:TKP589869 TUL589862:TUL589869 UEH589862:UEH589869 UOD589862:UOD589869 UXZ589862:UXZ589869 VHV589862:VHV589869 VRR589862:VRR589869 WBN589862:WBN589869 WLJ589862:WLJ589869 WVF589862:WVF589869 B655398:B655405 IT655398:IT655405 SP655398:SP655405 ACL655398:ACL655405 AMH655398:AMH655405 AWD655398:AWD655405 BFZ655398:BFZ655405 BPV655398:BPV655405 BZR655398:BZR655405 CJN655398:CJN655405 CTJ655398:CTJ655405 DDF655398:DDF655405 DNB655398:DNB655405 DWX655398:DWX655405 EGT655398:EGT655405 EQP655398:EQP655405 FAL655398:FAL655405 FKH655398:FKH655405 FUD655398:FUD655405 GDZ655398:GDZ655405 GNV655398:GNV655405 GXR655398:GXR655405 HHN655398:HHN655405 HRJ655398:HRJ655405 IBF655398:IBF655405 ILB655398:ILB655405 IUX655398:IUX655405 JET655398:JET655405 JOP655398:JOP655405 JYL655398:JYL655405 KIH655398:KIH655405 KSD655398:KSD655405 LBZ655398:LBZ655405 LLV655398:LLV655405 LVR655398:LVR655405 MFN655398:MFN655405 MPJ655398:MPJ655405 MZF655398:MZF655405 NJB655398:NJB655405 NSX655398:NSX655405 OCT655398:OCT655405 OMP655398:OMP655405 OWL655398:OWL655405 PGH655398:PGH655405 PQD655398:PQD655405 PZZ655398:PZZ655405 QJV655398:QJV655405 QTR655398:QTR655405 RDN655398:RDN655405 RNJ655398:RNJ655405 RXF655398:RXF655405 SHB655398:SHB655405 SQX655398:SQX655405 TAT655398:TAT655405 TKP655398:TKP655405 TUL655398:TUL655405 UEH655398:UEH655405 UOD655398:UOD655405 UXZ655398:UXZ655405 VHV655398:VHV655405 VRR655398:VRR655405 WBN655398:WBN655405 WLJ655398:WLJ655405 WVF655398:WVF655405 B720934:B720941 IT720934:IT720941 SP720934:SP720941 ACL720934:ACL720941 AMH720934:AMH720941 AWD720934:AWD720941 BFZ720934:BFZ720941 BPV720934:BPV720941 BZR720934:BZR720941 CJN720934:CJN720941 CTJ720934:CTJ720941 DDF720934:DDF720941 DNB720934:DNB720941 DWX720934:DWX720941 EGT720934:EGT720941 EQP720934:EQP720941 FAL720934:FAL720941 FKH720934:FKH720941 FUD720934:FUD720941 GDZ720934:GDZ720941 GNV720934:GNV720941 GXR720934:GXR720941 HHN720934:HHN720941 HRJ720934:HRJ720941 IBF720934:IBF720941 ILB720934:ILB720941 IUX720934:IUX720941 JET720934:JET720941 JOP720934:JOP720941 JYL720934:JYL720941 KIH720934:KIH720941 KSD720934:KSD720941 LBZ720934:LBZ720941 LLV720934:LLV720941 LVR720934:LVR720941 MFN720934:MFN720941 MPJ720934:MPJ720941 MZF720934:MZF720941 NJB720934:NJB720941 NSX720934:NSX720941 OCT720934:OCT720941 OMP720934:OMP720941 OWL720934:OWL720941 PGH720934:PGH720941 PQD720934:PQD720941 PZZ720934:PZZ720941 QJV720934:QJV720941 QTR720934:QTR720941 RDN720934:RDN720941 RNJ720934:RNJ720941 RXF720934:RXF720941 SHB720934:SHB720941 SQX720934:SQX720941 TAT720934:TAT720941 TKP720934:TKP720941 TUL720934:TUL720941 UEH720934:UEH720941 UOD720934:UOD720941 UXZ720934:UXZ720941 VHV720934:VHV720941 VRR720934:VRR720941 WBN720934:WBN720941 WLJ720934:WLJ720941 WVF720934:WVF720941 B786470:B786477 IT786470:IT786477 SP786470:SP786477 ACL786470:ACL786477 AMH786470:AMH786477 AWD786470:AWD786477 BFZ786470:BFZ786477 BPV786470:BPV786477 BZR786470:BZR786477 CJN786470:CJN786477 CTJ786470:CTJ786477 DDF786470:DDF786477 DNB786470:DNB786477 DWX786470:DWX786477 EGT786470:EGT786477 EQP786470:EQP786477 FAL786470:FAL786477 FKH786470:FKH786477 FUD786470:FUD786477 GDZ786470:GDZ786477 GNV786470:GNV786477 GXR786470:GXR786477 HHN786470:HHN786477 HRJ786470:HRJ786477 IBF786470:IBF786477 ILB786470:ILB786477 IUX786470:IUX786477 JET786470:JET786477 JOP786470:JOP786477 JYL786470:JYL786477 KIH786470:KIH786477 KSD786470:KSD786477 LBZ786470:LBZ786477 LLV786470:LLV786477 LVR786470:LVR786477 MFN786470:MFN786477 MPJ786470:MPJ786477 MZF786470:MZF786477 NJB786470:NJB786477 NSX786470:NSX786477 OCT786470:OCT786477 OMP786470:OMP786477 OWL786470:OWL786477 PGH786470:PGH786477 PQD786470:PQD786477 PZZ786470:PZZ786477 QJV786470:QJV786477 QTR786470:QTR786477 RDN786470:RDN786477 RNJ786470:RNJ786477 RXF786470:RXF786477 SHB786470:SHB786477 SQX786470:SQX786477 TAT786470:TAT786477 TKP786470:TKP786477 TUL786470:TUL786477 UEH786470:UEH786477 UOD786470:UOD786477 UXZ786470:UXZ786477 VHV786470:VHV786477 VRR786470:VRR786477 WBN786470:WBN786477 WLJ786470:WLJ786477 WVF786470:WVF786477 B852006:B852013 IT852006:IT852013 SP852006:SP852013 ACL852006:ACL852013 AMH852006:AMH852013 AWD852006:AWD852013 BFZ852006:BFZ852013 BPV852006:BPV852013 BZR852006:BZR852013 CJN852006:CJN852013 CTJ852006:CTJ852013 DDF852006:DDF852013 DNB852006:DNB852013 DWX852006:DWX852013 EGT852006:EGT852013 EQP852006:EQP852013 FAL852006:FAL852013 FKH852006:FKH852013 FUD852006:FUD852013 GDZ852006:GDZ852013 GNV852006:GNV852013 GXR852006:GXR852013 HHN852006:HHN852013 HRJ852006:HRJ852013 IBF852006:IBF852013 ILB852006:ILB852013 IUX852006:IUX852013 JET852006:JET852013 JOP852006:JOP852013 JYL852006:JYL852013 KIH852006:KIH852013 KSD852006:KSD852013 LBZ852006:LBZ852013 LLV852006:LLV852013 LVR852006:LVR852013 MFN852006:MFN852013 MPJ852006:MPJ852013 MZF852006:MZF852013 NJB852006:NJB852013 NSX852006:NSX852013 OCT852006:OCT852013 OMP852006:OMP852013 OWL852006:OWL852013 PGH852006:PGH852013 PQD852006:PQD852013 PZZ852006:PZZ852013 QJV852006:QJV852013 QTR852006:QTR852013 RDN852006:RDN852013 RNJ852006:RNJ852013 RXF852006:RXF852013 SHB852006:SHB852013 SQX852006:SQX852013 TAT852006:TAT852013 TKP852006:TKP852013 TUL852006:TUL852013 UEH852006:UEH852013 UOD852006:UOD852013 UXZ852006:UXZ852013 VHV852006:VHV852013 VRR852006:VRR852013 WBN852006:WBN852013 WLJ852006:WLJ852013 WVF852006:WVF852013 B917542:B917549 IT917542:IT917549 SP917542:SP917549 ACL917542:ACL917549 AMH917542:AMH917549 AWD917542:AWD917549 BFZ917542:BFZ917549 BPV917542:BPV917549 BZR917542:BZR917549 CJN917542:CJN917549 CTJ917542:CTJ917549 DDF917542:DDF917549 DNB917542:DNB917549 DWX917542:DWX917549 EGT917542:EGT917549 EQP917542:EQP917549 FAL917542:FAL917549 FKH917542:FKH917549 FUD917542:FUD917549 GDZ917542:GDZ917549 GNV917542:GNV917549 GXR917542:GXR917549 HHN917542:HHN917549 HRJ917542:HRJ917549 IBF917542:IBF917549 ILB917542:ILB917549 IUX917542:IUX917549 JET917542:JET917549 JOP917542:JOP917549 JYL917542:JYL917549 KIH917542:KIH917549 KSD917542:KSD917549 LBZ917542:LBZ917549 LLV917542:LLV917549 LVR917542:LVR917549 MFN917542:MFN917549 MPJ917542:MPJ917549 MZF917542:MZF917549 NJB917542:NJB917549 NSX917542:NSX917549 OCT917542:OCT917549 OMP917542:OMP917549 OWL917542:OWL917549 PGH917542:PGH917549 PQD917542:PQD917549 PZZ917542:PZZ917549 QJV917542:QJV917549 QTR917542:QTR917549 RDN917542:RDN917549 RNJ917542:RNJ917549 RXF917542:RXF917549 SHB917542:SHB917549 SQX917542:SQX917549 TAT917542:TAT917549 TKP917542:TKP917549 TUL917542:TUL917549 UEH917542:UEH917549 UOD917542:UOD917549 UXZ917542:UXZ917549 VHV917542:VHV917549 VRR917542:VRR917549 WBN917542:WBN917549 WLJ917542:WLJ917549 WVF917542:WVF917549 B983078:B983085 IT983078:IT983085 SP983078:SP983085 ACL983078:ACL983085 AMH983078:AMH983085 AWD983078:AWD983085 BFZ983078:BFZ983085 BPV983078:BPV983085 BZR983078:BZR983085 CJN983078:CJN983085 CTJ983078:CTJ983085 DDF983078:DDF983085 DNB983078:DNB983085 DWX983078:DWX983085 EGT983078:EGT983085 EQP983078:EQP983085 FAL983078:FAL983085 FKH983078:FKH983085 FUD983078:FUD983085 GDZ983078:GDZ983085 GNV983078:GNV983085 GXR983078:GXR983085 HHN983078:HHN983085 HRJ983078:HRJ983085 IBF983078:IBF983085 ILB983078:ILB983085 IUX983078:IUX983085 JET983078:JET983085 JOP983078:JOP983085 JYL983078:JYL983085 KIH983078:KIH983085 KSD983078:KSD983085 LBZ983078:LBZ983085 LLV983078:LLV983085 LVR983078:LVR983085 MFN983078:MFN983085 MPJ983078:MPJ983085 MZF983078:MZF983085 NJB983078:NJB983085 NSX983078:NSX983085 OCT983078:OCT983085 OMP983078:OMP983085 OWL983078:OWL983085 PGH983078:PGH983085 PQD983078:PQD983085 PZZ983078:PZZ983085 QJV983078:QJV983085 QTR983078:QTR983085 RDN983078:RDN983085 RNJ983078:RNJ983085 RXF983078:RXF983085 SHB983078:SHB983085 SQX983078:SQX983085 TAT983078:TAT983085 TKP983078:TKP983085 TUL983078:TUL983085 UEH983078:UEH983085 UOD983078:UOD983085 UXZ983078:UXZ983085 VHV983078:VHV983085 VRR983078:VRR983085 WBN983078:WBN983085 WLJ983078:WLJ983085 WVF983078:WVF983085 B70:B75 IT70:IT75 SP70:SP75 ACL70:ACL75 AMH70:AMH75 AWD70:AWD75 BFZ70:BFZ75 BPV70:BPV75 BZR70:BZR75 CJN70:CJN75 CTJ70:CTJ75 DDF70:DDF75 DNB70:DNB75 DWX70:DWX75 EGT70:EGT75 EQP70:EQP75 FAL70:FAL75 FKH70:FKH75 FUD70:FUD75 GDZ70:GDZ75 GNV70:GNV75 GXR70:GXR75 HHN70:HHN75 HRJ70:HRJ75 IBF70:IBF75 ILB70:ILB75 IUX70:IUX75 JET70:JET75 JOP70:JOP75 JYL70:JYL75 KIH70:KIH75 KSD70:KSD75 LBZ70:LBZ75 LLV70:LLV75 LVR70:LVR75 MFN70:MFN75 MPJ70:MPJ75 MZF70:MZF75 NJB70:NJB75 NSX70:NSX75 OCT70:OCT75 OMP70:OMP75 OWL70:OWL75 PGH70:PGH75 PQD70:PQD75 PZZ70:PZZ75 QJV70:QJV75 QTR70:QTR75 RDN70:RDN75 RNJ70:RNJ75 RXF70:RXF75 SHB70:SHB75 SQX70:SQX75 TAT70:TAT75 TKP70:TKP75 TUL70:TUL75 UEH70:UEH75 UOD70:UOD75 UXZ70:UXZ75 VHV70:VHV75 VRR70:VRR75 WBN70:WBN75 WLJ70:WLJ75 WVF70:WVF75 B65606:B65611 IT65606:IT65611 SP65606:SP65611 ACL65606:ACL65611 AMH65606:AMH65611 AWD65606:AWD65611 BFZ65606:BFZ65611 BPV65606:BPV65611 BZR65606:BZR65611 CJN65606:CJN65611 CTJ65606:CTJ65611 DDF65606:DDF65611 DNB65606:DNB65611 DWX65606:DWX65611 EGT65606:EGT65611 EQP65606:EQP65611 FAL65606:FAL65611 FKH65606:FKH65611 FUD65606:FUD65611 GDZ65606:GDZ65611 GNV65606:GNV65611 GXR65606:GXR65611 HHN65606:HHN65611 HRJ65606:HRJ65611 IBF65606:IBF65611 ILB65606:ILB65611 IUX65606:IUX65611 JET65606:JET65611 JOP65606:JOP65611 JYL65606:JYL65611 KIH65606:KIH65611 KSD65606:KSD65611 LBZ65606:LBZ65611 LLV65606:LLV65611 LVR65606:LVR65611 MFN65606:MFN65611 MPJ65606:MPJ65611 MZF65606:MZF65611 NJB65606:NJB65611 NSX65606:NSX65611 OCT65606:OCT65611 OMP65606:OMP65611 OWL65606:OWL65611 PGH65606:PGH65611 PQD65606:PQD65611 PZZ65606:PZZ65611 QJV65606:QJV65611 QTR65606:QTR65611 RDN65606:RDN65611 RNJ65606:RNJ65611 RXF65606:RXF65611 SHB65606:SHB65611 SQX65606:SQX65611 TAT65606:TAT65611 TKP65606:TKP65611 TUL65606:TUL65611 UEH65606:UEH65611 UOD65606:UOD65611 UXZ65606:UXZ65611 VHV65606:VHV65611 VRR65606:VRR65611 WBN65606:WBN65611 WLJ65606:WLJ65611 WVF65606:WVF65611 B131142:B131147 IT131142:IT131147 SP131142:SP131147 ACL131142:ACL131147 AMH131142:AMH131147 AWD131142:AWD131147 BFZ131142:BFZ131147 BPV131142:BPV131147 BZR131142:BZR131147 CJN131142:CJN131147 CTJ131142:CTJ131147 DDF131142:DDF131147 DNB131142:DNB131147 DWX131142:DWX131147 EGT131142:EGT131147 EQP131142:EQP131147 FAL131142:FAL131147 FKH131142:FKH131147 FUD131142:FUD131147 GDZ131142:GDZ131147 GNV131142:GNV131147 GXR131142:GXR131147 HHN131142:HHN131147 HRJ131142:HRJ131147 IBF131142:IBF131147 ILB131142:ILB131147 IUX131142:IUX131147 JET131142:JET131147 JOP131142:JOP131147 JYL131142:JYL131147 KIH131142:KIH131147 KSD131142:KSD131147 LBZ131142:LBZ131147 LLV131142:LLV131147 LVR131142:LVR131147 MFN131142:MFN131147 MPJ131142:MPJ131147 MZF131142:MZF131147 NJB131142:NJB131147 NSX131142:NSX131147 OCT131142:OCT131147 OMP131142:OMP131147 OWL131142:OWL131147 PGH131142:PGH131147 PQD131142:PQD131147 PZZ131142:PZZ131147 QJV131142:QJV131147 QTR131142:QTR131147 RDN131142:RDN131147 RNJ131142:RNJ131147 RXF131142:RXF131147 SHB131142:SHB131147 SQX131142:SQX131147 TAT131142:TAT131147 TKP131142:TKP131147 TUL131142:TUL131147 UEH131142:UEH131147 UOD131142:UOD131147 UXZ131142:UXZ131147 VHV131142:VHV131147 VRR131142:VRR131147 WBN131142:WBN131147 WLJ131142:WLJ131147 WVF131142:WVF131147 B196678:B196683 IT196678:IT196683 SP196678:SP196683 ACL196678:ACL196683 AMH196678:AMH196683 AWD196678:AWD196683 BFZ196678:BFZ196683 BPV196678:BPV196683 BZR196678:BZR196683 CJN196678:CJN196683 CTJ196678:CTJ196683 DDF196678:DDF196683 DNB196678:DNB196683 DWX196678:DWX196683 EGT196678:EGT196683 EQP196678:EQP196683 FAL196678:FAL196683 FKH196678:FKH196683 FUD196678:FUD196683 GDZ196678:GDZ196683 GNV196678:GNV196683 GXR196678:GXR196683 HHN196678:HHN196683 HRJ196678:HRJ196683 IBF196678:IBF196683 ILB196678:ILB196683 IUX196678:IUX196683 JET196678:JET196683 JOP196678:JOP196683 JYL196678:JYL196683 KIH196678:KIH196683 KSD196678:KSD196683 LBZ196678:LBZ196683 LLV196678:LLV196683 LVR196678:LVR196683 MFN196678:MFN196683 MPJ196678:MPJ196683 MZF196678:MZF196683 NJB196678:NJB196683 NSX196678:NSX196683 OCT196678:OCT196683 OMP196678:OMP196683 OWL196678:OWL196683 PGH196678:PGH196683 PQD196678:PQD196683 PZZ196678:PZZ196683 QJV196678:QJV196683 QTR196678:QTR196683 RDN196678:RDN196683 RNJ196678:RNJ196683 RXF196678:RXF196683 SHB196678:SHB196683 SQX196678:SQX196683 TAT196678:TAT196683 TKP196678:TKP196683 TUL196678:TUL196683 UEH196678:UEH196683 UOD196678:UOD196683 UXZ196678:UXZ196683 VHV196678:VHV196683 VRR196678:VRR196683 WBN196678:WBN196683 WLJ196678:WLJ196683 WVF196678:WVF196683 B262214:B262219 IT262214:IT262219 SP262214:SP262219 ACL262214:ACL262219 AMH262214:AMH262219 AWD262214:AWD262219 BFZ262214:BFZ262219 BPV262214:BPV262219 BZR262214:BZR262219 CJN262214:CJN262219 CTJ262214:CTJ262219 DDF262214:DDF262219 DNB262214:DNB262219 DWX262214:DWX262219 EGT262214:EGT262219 EQP262214:EQP262219 FAL262214:FAL262219 FKH262214:FKH262219 FUD262214:FUD262219 GDZ262214:GDZ262219 GNV262214:GNV262219 GXR262214:GXR262219 HHN262214:HHN262219 HRJ262214:HRJ262219 IBF262214:IBF262219 ILB262214:ILB262219 IUX262214:IUX262219 JET262214:JET262219 JOP262214:JOP262219 JYL262214:JYL262219 KIH262214:KIH262219 KSD262214:KSD262219 LBZ262214:LBZ262219 LLV262214:LLV262219 LVR262214:LVR262219 MFN262214:MFN262219 MPJ262214:MPJ262219 MZF262214:MZF262219 NJB262214:NJB262219 NSX262214:NSX262219 OCT262214:OCT262219 OMP262214:OMP262219 OWL262214:OWL262219 PGH262214:PGH262219 PQD262214:PQD262219 PZZ262214:PZZ262219 QJV262214:QJV262219 QTR262214:QTR262219 RDN262214:RDN262219 RNJ262214:RNJ262219 RXF262214:RXF262219 SHB262214:SHB262219 SQX262214:SQX262219 TAT262214:TAT262219 TKP262214:TKP262219 TUL262214:TUL262219 UEH262214:UEH262219 UOD262214:UOD262219 UXZ262214:UXZ262219 VHV262214:VHV262219 VRR262214:VRR262219 WBN262214:WBN262219 WLJ262214:WLJ262219 WVF262214:WVF262219 B327750:B327755 IT327750:IT327755 SP327750:SP327755 ACL327750:ACL327755 AMH327750:AMH327755 AWD327750:AWD327755 BFZ327750:BFZ327755 BPV327750:BPV327755 BZR327750:BZR327755 CJN327750:CJN327755 CTJ327750:CTJ327755 DDF327750:DDF327755 DNB327750:DNB327755 DWX327750:DWX327755 EGT327750:EGT327755 EQP327750:EQP327755 FAL327750:FAL327755 FKH327750:FKH327755 FUD327750:FUD327755 GDZ327750:GDZ327755 GNV327750:GNV327755 GXR327750:GXR327755 HHN327750:HHN327755 HRJ327750:HRJ327755 IBF327750:IBF327755 ILB327750:ILB327755 IUX327750:IUX327755 JET327750:JET327755 JOP327750:JOP327755 JYL327750:JYL327755 KIH327750:KIH327755 KSD327750:KSD327755 LBZ327750:LBZ327755 LLV327750:LLV327755 LVR327750:LVR327755 MFN327750:MFN327755 MPJ327750:MPJ327755 MZF327750:MZF327755 NJB327750:NJB327755 NSX327750:NSX327755 OCT327750:OCT327755 OMP327750:OMP327755 OWL327750:OWL327755 PGH327750:PGH327755 PQD327750:PQD327755 PZZ327750:PZZ327755 QJV327750:QJV327755 QTR327750:QTR327755 RDN327750:RDN327755 RNJ327750:RNJ327755 RXF327750:RXF327755 SHB327750:SHB327755 SQX327750:SQX327755 TAT327750:TAT327755 TKP327750:TKP327755 TUL327750:TUL327755 UEH327750:UEH327755 UOD327750:UOD327755 UXZ327750:UXZ327755 VHV327750:VHV327755 VRR327750:VRR327755 WBN327750:WBN327755 WLJ327750:WLJ327755 WVF327750:WVF327755 B393286:B393291 IT393286:IT393291 SP393286:SP393291 ACL393286:ACL393291 AMH393286:AMH393291 AWD393286:AWD393291 BFZ393286:BFZ393291 BPV393286:BPV393291 BZR393286:BZR393291 CJN393286:CJN393291 CTJ393286:CTJ393291 DDF393286:DDF393291 DNB393286:DNB393291 DWX393286:DWX393291 EGT393286:EGT393291 EQP393286:EQP393291 FAL393286:FAL393291 FKH393286:FKH393291 FUD393286:FUD393291 GDZ393286:GDZ393291 GNV393286:GNV393291 GXR393286:GXR393291 HHN393286:HHN393291 HRJ393286:HRJ393291 IBF393286:IBF393291 ILB393286:ILB393291 IUX393286:IUX393291 JET393286:JET393291 JOP393286:JOP393291 JYL393286:JYL393291 KIH393286:KIH393291 KSD393286:KSD393291 LBZ393286:LBZ393291 LLV393286:LLV393291 LVR393286:LVR393291 MFN393286:MFN393291 MPJ393286:MPJ393291 MZF393286:MZF393291 NJB393286:NJB393291 NSX393286:NSX393291 OCT393286:OCT393291 OMP393286:OMP393291 OWL393286:OWL393291 PGH393286:PGH393291 PQD393286:PQD393291 PZZ393286:PZZ393291 QJV393286:QJV393291 QTR393286:QTR393291 RDN393286:RDN393291 RNJ393286:RNJ393291 RXF393286:RXF393291 SHB393286:SHB393291 SQX393286:SQX393291 TAT393286:TAT393291 TKP393286:TKP393291 TUL393286:TUL393291 UEH393286:UEH393291 UOD393286:UOD393291 UXZ393286:UXZ393291 VHV393286:VHV393291 VRR393286:VRR393291 WBN393286:WBN393291 WLJ393286:WLJ393291 WVF393286:WVF393291 B458822:B458827 IT458822:IT458827 SP458822:SP458827 ACL458822:ACL458827 AMH458822:AMH458827 AWD458822:AWD458827 BFZ458822:BFZ458827 BPV458822:BPV458827 BZR458822:BZR458827 CJN458822:CJN458827 CTJ458822:CTJ458827 DDF458822:DDF458827 DNB458822:DNB458827 DWX458822:DWX458827 EGT458822:EGT458827 EQP458822:EQP458827 FAL458822:FAL458827 FKH458822:FKH458827 FUD458822:FUD458827 GDZ458822:GDZ458827 GNV458822:GNV458827 GXR458822:GXR458827 HHN458822:HHN458827 HRJ458822:HRJ458827 IBF458822:IBF458827 ILB458822:ILB458827 IUX458822:IUX458827 JET458822:JET458827 JOP458822:JOP458827 JYL458822:JYL458827 KIH458822:KIH458827 KSD458822:KSD458827 LBZ458822:LBZ458827 LLV458822:LLV458827 LVR458822:LVR458827 MFN458822:MFN458827 MPJ458822:MPJ458827 MZF458822:MZF458827 NJB458822:NJB458827 NSX458822:NSX458827 OCT458822:OCT458827 OMP458822:OMP458827 OWL458822:OWL458827 PGH458822:PGH458827 PQD458822:PQD458827 PZZ458822:PZZ458827 QJV458822:QJV458827 QTR458822:QTR458827 RDN458822:RDN458827 RNJ458822:RNJ458827 RXF458822:RXF458827 SHB458822:SHB458827 SQX458822:SQX458827 TAT458822:TAT458827 TKP458822:TKP458827 TUL458822:TUL458827 UEH458822:UEH458827 UOD458822:UOD458827 UXZ458822:UXZ458827 VHV458822:VHV458827 VRR458822:VRR458827 WBN458822:WBN458827 WLJ458822:WLJ458827 WVF458822:WVF458827 B524358:B524363 IT524358:IT524363 SP524358:SP524363 ACL524358:ACL524363 AMH524358:AMH524363 AWD524358:AWD524363 BFZ524358:BFZ524363 BPV524358:BPV524363 BZR524358:BZR524363 CJN524358:CJN524363 CTJ524358:CTJ524363 DDF524358:DDF524363 DNB524358:DNB524363 DWX524358:DWX524363 EGT524358:EGT524363 EQP524358:EQP524363 FAL524358:FAL524363 FKH524358:FKH524363 FUD524358:FUD524363 GDZ524358:GDZ524363 GNV524358:GNV524363 GXR524358:GXR524363 HHN524358:HHN524363 HRJ524358:HRJ524363 IBF524358:IBF524363 ILB524358:ILB524363 IUX524358:IUX524363 JET524358:JET524363 JOP524358:JOP524363 JYL524358:JYL524363 KIH524358:KIH524363 KSD524358:KSD524363 LBZ524358:LBZ524363 LLV524358:LLV524363 LVR524358:LVR524363 MFN524358:MFN524363 MPJ524358:MPJ524363 MZF524358:MZF524363 NJB524358:NJB524363 NSX524358:NSX524363 OCT524358:OCT524363 OMP524358:OMP524363 OWL524358:OWL524363 PGH524358:PGH524363 PQD524358:PQD524363 PZZ524358:PZZ524363 QJV524358:QJV524363 QTR524358:QTR524363 RDN524358:RDN524363 RNJ524358:RNJ524363 RXF524358:RXF524363 SHB524358:SHB524363 SQX524358:SQX524363 TAT524358:TAT524363 TKP524358:TKP524363 TUL524358:TUL524363 UEH524358:UEH524363 UOD524358:UOD524363 UXZ524358:UXZ524363 VHV524358:VHV524363 VRR524358:VRR524363 WBN524358:WBN524363 WLJ524358:WLJ524363 WVF524358:WVF524363 B589894:B589899 IT589894:IT589899 SP589894:SP589899 ACL589894:ACL589899 AMH589894:AMH589899 AWD589894:AWD589899 BFZ589894:BFZ589899 BPV589894:BPV589899 BZR589894:BZR589899 CJN589894:CJN589899 CTJ589894:CTJ589899 DDF589894:DDF589899 DNB589894:DNB589899 DWX589894:DWX589899 EGT589894:EGT589899 EQP589894:EQP589899 FAL589894:FAL589899 FKH589894:FKH589899 FUD589894:FUD589899 GDZ589894:GDZ589899 GNV589894:GNV589899 GXR589894:GXR589899 HHN589894:HHN589899 HRJ589894:HRJ589899 IBF589894:IBF589899 ILB589894:ILB589899 IUX589894:IUX589899 JET589894:JET589899 JOP589894:JOP589899 JYL589894:JYL589899 KIH589894:KIH589899 KSD589894:KSD589899 LBZ589894:LBZ589899 LLV589894:LLV589899 LVR589894:LVR589899 MFN589894:MFN589899 MPJ589894:MPJ589899 MZF589894:MZF589899 NJB589894:NJB589899 NSX589894:NSX589899 OCT589894:OCT589899 OMP589894:OMP589899 OWL589894:OWL589899 PGH589894:PGH589899 PQD589894:PQD589899 PZZ589894:PZZ589899 QJV589894:QJV589899 QTR589894:QTR589899 RDN589894:RDN589899 RNJ589894:RNJ589899 RXF589894:RXF589899 SHB589894:SHB589899 SQX589894:SQX589899 TAT589894:TAT589899 TKP589894:TKP589899 TUL589894:TUL589899 UEH589894:UEH589899 UOD589894:UOD589899 UXZ589894:UXZ589899 VHV589894:VHV589899 VRR589894:VRR589899 WBN589894:WBN589899 WLJ589894:WLJ589899 WVF589894:WVF589899 B655430:B655435 IT655430:IT655435 SP655430:SP655435 ACL655430:ACL655435 AMH655430:AMH655435 AWD655430:AWD655435 BFZ655430:BFZ655435 BPV655430:BPV655435 BZR655430:BZR655435 CJN655430:CJN655435 CTJ655430:CTJ655435 DDF655430:DDF655435 DNB655430:DNB655435 DWX655430:DWX655435 EGT655430:EGT655435 EQP655430:EQP655435 FAL655430:FAL655435 FKH655430:FKH655435 FUD655430:FUD655435 GDZ655430:GDZ655435 GNV655430:GNV655435 GXR655430:GXR655435 HHN655430:HHN655435 HRJ655430:HRJ655435 IBF655430:IBF655435 ILB655430:ILB655435 IUX655430:IUX655435 JET655430:JET655435 JOP655430:JOP655435 JYL655430:JYL655435 KIH655430:KIH655435 KSD655430:KSD655435 LBZ655430:LBZ655435 LLV655430:LLV655435 LVR655430:LVR655435 MFN655430:MFN655435 MPJ655430:MPJ655435 MZF655430:MZF655435 NJB655430:NJB655435 NSX655430:NSX655435 OCT655430:OCT655435 OMP655430:OMP655435 OWL655430:OWL655435 PGH655430:PGH655435 PQD655430:PQD655435 PZZ655430:PZZ655435 QJV655430:QJV655435 QTR655430:QTR655435 RDN655430:RDN655435 RNJ655430:RNJ655435 RXF655430:RXF655435 SHB655430:SHB655435 SQX655430:SQX655435 TAT655430:TAT655435 TKP655430:TKP655435 TUL655430:TUL655435 UEH655430:UEH655435 UOD655430:UOD655435 UXZ655430:UXZ655435 VHV655430:VHV655435 VRR655430:VRR655435 WBN655430:WBN655435 WLJ655430:WLJ655435 WVF655430:WVF655435 B720966:B720971 IT720966:IT720971 SP720966:SP720971 ACL720966:ACL720971 AMH720966:AMH720971 AWD720966:AWD720971 BFZ720966:BFZ720971 BPV720966:BPV720971 BZR720966:BZR720971 CJN720966:CJN720971 CTJ720966:CTJ720971 DDF720966:DDF720971 DNB720966:DNB720971 DWX720966:DWX720971 EGT720966:EGT720971 EQP720966:EQP720971 FAL720966:FAL720971 FKH720966:FKH720971 FUD720966:FUD720971 GDZ720966:GDZ720971 GNV720966:GNV720971 GXR720966:GXR720971 HHN720966:HHN720971 HRJ720966:HRJ720971 IBF720966:IBF720971 ILB720966:ILB720971 IUX720966:IUX720971 JET720966:JET720971 JOP720966:JOP720971 JYL720966:JYL720971 KIH720966:KIH720971 KSD720966:KSD720971 LBZ720966:LBZ720971 LLV720966:LLV720971 LVR720966:LVR720971 MFN720966:MFN720971 MPJ720966:MPJ720971 MZF720966:MZF720971 NJB720966:NJB720971 NSX720966:NSX720971 OCT720966:OCT720971 OMP720966:OMP720971 OWL720966:OWL720971 PGH720966:PGH720971 PQD720966:PQD720971 PZZ720966:PZZ720971 QJV720966:QJV720971 QTR720966:QTR720971 RDN720966:RDN720971 RNJ720966:RNJ720971 RXF720966:RXF720971 SHB720966:SHB720971 SQX720966:SQX720971 TAT720966:TAT720971 TKP720966:TKP720971 TUL720966:TUL720971 UEH720966:UEH720971 UOD720966:UOD720971 UXZ720966:UXZ720971 VHV720966:VHV720971 VRR720966:VRR720971 WBN720966:WBN720971 WLJ720966:WLJ720971 WVF720966:WVF720971 B786502:B786507 IT786502:IT786507 SP786502:SP786507 ACL786502:ACL786507 AMH786502:AMH786507 AWD786502:AWD786507 BFZ786502:BFZ786507 BPV786502:BPV786507 BZR786502:BZR786507 CJN786502:CJN786507 CTJ786502:CTJ786507 DDF786502:DDF786507 DNB786502:DNB786507 DWX786502:DWX786507 EGT786502:EGT786507 EQP786502:EQP786507 FAL786502:FAL786507 FKH786502:FKH786507 FUD786502:FUD786507 GDZ786502:GDZ786507 GNV786502:GNV786507 GXR786502:GXR786507 HHN786502:HHN786507 HRJ786502:HRJ786507 IBF786502:IBF786507 ILB786502:ILB786507 IUX786502:IUX786507 JET786502:JET786507 JOP786502:JOP786507 JYL786502:JYL786507 KIH786502:KIH786507 KSD786502:KSD786507 LBZ786502:LBZ786507 LLV786502:LLV786507 LVR786502:LVR786507 MFN786502:MFN786507 MPJ786502:MPJ786507 MZF786502:MZF786507 NJB786502:NJB786507 NSX786502:NSX786507 OCT786502:OCT786507 OMP786502:OMP786507 OWL786502:OWL786507 PGH786502:PGH786507 PQD786502:PQD786507 PZZ786502:PZZ786507 QJV786502:QJV786507 QTR786502:QTR786507 RDN786502:RDN786507 RNJ786502:RNJ786507 RXF786502:RXF786507 SHB786502:SHB786507 SQX786502:SQX786507 TAT786502:TAT786507 TKP786502:TKP786507 TUL786502:TUL786507 UEH786502:UEH786507 UOD786502:UOD786507 UXZ786502:UXZ786507 VHV786502:VHV786507 VRR786502:VRR786507 WBN786502:WBN786507 WLJ786502:WLJ786507 WVF786502:WVF786507 B852038:B852043 IT852038:IT852043 SP852038:SP852043 ACL852038:ACL852043 AMH852038:AMH852043 AWD852038:AWD852043 BFZ852038:BFZ852043 BPV852038:BPV852043 BZR852038:BZR852043 CJN852038:CJN852043 CTJ852038:CTJ852043 DDF852038:DDF852043 DNB852038:DNB852043 DWX852038:DWX852043 EGT852038:EGT852043 EQP852038:EQP852043 FAL852038:FAL852043 FKH852038:FKH852043 FUD852038:FUD852043 GDZ852038:GDZ852043 GNV852038:GNV852043 GXR852038:GXR852043 HHN852038:HHN852043 HRJ852038:HRJ852043 IBF852038:IBF852043 ILB852038:ILB852043 IUX852038:IUX852043 JET852038:JET852043 JOP852038:JOP852043 JYL852038:JYL852043 KIH852038:KIH852043 KSD852038:KSD852043 LBZ852038:LBZ852043 LLV852038:LLV852043 LVR852038:LVR852043 MFN852038:MFN852043 MPJ852038:MPJ852043 MZF852038:MZF852043 NJB852038:NJB852043 NSX852038:NSX852043 OCT852038:OCT852043 OMP852038:OMP852043 OWL852038:OWL852043 PGH852038:PGH852043 PQD852038:PQD852043 PZZ852038:PZZ852043 QJV852038:QJV852043 QTR852038:QTR852043 RDN852038:RDN852043 RNJ852038:RNJ852043 RXF852038:RXF852043 SHB852038:SHB852043 SQX852038:SQX852043 TAT852038:TAT852043 TKP852038:TKP852043 TUL852038:TUL852043 UEH852038:UEH852043 UOD852038:UOD852043 UXZ852038:UXZ852043 VHV852038:VHV852043 VRR852038:VRR852043 WBN852038:WBN852043 WLJ852038:WLJ852043 WVF852038:WVF852043 B917574:B917579 IT917574:IT917579 SP917574:SP917579 ACL917574:ACL917579 AMH917574:AMH917579 AWD917574:AWD917579 BFZ917574:BFZ917579 BPV917574:BPV917579 BZR917574:BZR917579 CJN917574:CJN917579 CTJ917574:CTJ917579 DDF917574:DDF917579 DNB917574:DNB917579 DWX917574:DWX917579 EGT917574:EGT917579 EQP917574:EQP917579 FAL917574:FAL917579 FKH917574:FKH917579 FUD917574:FUD917579 GDZ917574:GDZ917579 GNV917574:GNV917579 GXR917574:GXR917579 HHN917574:HHN917579 HRJ917574:HRJ917579 IBF917574:IBF917579 ILB917574:ILB917579 IUX917574:IUX917579 JET917574:JET917579 JOP917574:JOP917579 JYL917574:JYL917579 KIH917574:KIH917579 KSD917574:KSD917579 LBZ917574:LBZ917579 LLV917574:LLV917579 LVR917574:LVR917579 MFN917574:MFN917579 MPJ917574:MPJ917579 MZF917574:MZF917579 NJB917574:NJB917579 NSX917574:NSX917579 OCT917574:OCT917579 OMP917574:OMP917579 OWL917574:OWL917579 PGH917574:PGH917579 PQD917574:PQD917579 PZZ917574:PZZ917579 QJV917574:QJV917579 QTR917574:QTR917579 RDN917574:RDN917579 RNJ917574:RNJ917579 RXF917574:RXF917579 SHB917574:SHB917579 SQX917574:SQX917579 TAT917574:TAT917579 TKP917574:TKP917579 TUL917574:TUL917579 UEH917574:UEH917579 UOD917574:UOD917579 UXZ917574:UXZ917579 VHV917574:VHV917579 VRR917574:VRR917579 WBN917574:WBN917579 WLJ917574:WLJ917579 WVF917574:WVF917579 B983110:B983115 IT983110:IT983115 SP983110:SP983115 ACL983110:ACL983115 AMH983110:AMH983115 AWD983110:AWD983115 BFZ983110:BFZ983115 BPV983110:BPV983115 BZR983110:BZR983115 CJN983110:CJN983115 CTJ983110:CTJ983115 DDF983110:DDF983115 DNB983110:DNB983115 DWX983110:DWX983115 EGT983110:EGT983115 EQP983110:EQP983115 FAL983110:FAL983115 FKH983110:FKH983115 FUD983110:FUD983115 GDZ983110:GDZ983115 GNV983110:GNV983115 GXR983110:GXR983115 HHN983110:HHN983115 HRJ983110:HRJ983115 IBF983110:IBF983115 ILB983110:ILB983115 IUX983110:IUX983115 JET983110:JET983115 JOP983110:JOP983115 JYL983110:JYL983115 KIH983110:KIH983115 KSD983110:KSD983115 LBZ983110:LBZ983115 LLV983110:LLV983115 LVR983110:LVR983115 MFN983110:MFN983115 MPJ983110:MPJ983115 MZF983110:MZF983115 NJB983110:NJB983115 NSX983110:NSX983115 OCT983110:OCT983115 OMP983110:OMP983115 OWL983110:OWL983115 PGH983110:PGH983115 PQD983110:PQD983115 PZZ983110:PZZ983115 QJV983110:QJV983115 QTR983110:QTR983115 RDN983110:RDN983115 RNJ983110:RNJ983115 RXF983110:RXF983115 SHB983110:SHB983115 SQX983110:SQX983115 TAT983110:TAT983115 TKP983110:TKP983115 TUL983110:TUL983115 UEH983110:UEH983115 UOD983110:UOD983115 UXZ983110:UXZ983115 VHV983110:VHV983115 VRR983110:VRR983115 WBN983110:WBN983115 WLJ983110:WLJ983115 WVF983110:WVF983115 B55:B68 IT55:IT68 SP55:SP68 ACL55:ACL68 AMH55:AMH68 AWD55:AWD68 BFZ55:BFZ68 BPV55:BPV68 BZR55:BZR68 CJN55:CJN68 CTJ55:CTJ68 DDF55:DDF68 DNB55:DNB68 DWX55:DWX68 EGT55:EGT68 EQP55:EQP68 FAL55:FAL68 FKH55:FKH68 FUD55:FUD68 GDZ55:GDZ68 GNV55:GNV68 GXR55:GXR68 HHN55:HHN68 HRJ55:HRJ68 IBF55:IBF68 ILB55:ILB68 IUX55:IUX68 JET55:JET68 JOP55:JOP68 JYL55:JYL68 KIH55:KIH68 KSD55:KSD68 LBZ55:LBZ68 LLV55:LLV68 LVR55:LVR68 MFN55:MFN68 MPJ55:MPJ68 MZF55:MZF68 NJB55:NJB68 NSX55:NSX68 OCT55:OCT68 OMP55:OMP68 OWL55:OWL68 PGH55:PGH68 PQD55:PQD68 PZZ55:PZZ68 QJV55:QJV68 QTR55:QTR68 RDN55:RDN68 RNJ55:RNJ68 RXF55:RXF68 SHB55:SHB68 SQX55:SQX68 TAT55:TAT68 TKP55:TKP68 TUL55:TUL68 UEH55:UEH68 UOD55:UOD68 UXZ55:UXZ68 VHV55:VHV68 VRR55:VRR68 WBN55:WBN68 WLJ55:WLJ68 WVF55:WVF68 B65591:B65604 IT65591:IT65604 SP65591:SP65604 ACL65591:ACL65604 AMH65591:AMH65604 AWD65591:AWD65604 BFZ65591:BFZ65604 BPV65591:BPV65604 BZR65591:BZR65604 CJN65591:CJN65604 CTJ65591:CTJ65604 DDF65591:DDF65604 DNB65591:DNB65604 DWX65591:DWX65604 EGT65591:EGT65604 EQP65591:EQP65604 FAL65591:FAL65604 FKH65591:FKH65604 FUD65591:FUD65604 GDZ65591:GDZ65604 GNV65591:GNV65604 GXR65591:GXR65604 HHN65591:HHN65604 HRJ65591:HRJ65604 IBF65591:IBF65604 ILB65591:ILB65604 IUX65591:IUX65604 JET65591:JET65604 JOP65591:JOP65604 JYL65591:JYL65604 KIH65591:KIH65604 KSD65591:KSD65604 LBZ65591:LBZ65604 LLV65591:LLV65604 LVR65591:LVR65604 MFN65591:MFN65604 MPJ65591:MPJ65604 MZF65591:MZF65604 NJB65591:NJB65604 NSX65591:NSX65604 OCT65591:OCT65604 OMP65591:OMP65604 OWL65591:OWL65604 PGH65591:PGH65604 PQD65591:PQD65604 PZZ65591:PZZ65604 QJV65591:QJV65604 QTR65591:QTR65604 RDN65591:RDN65604 RNJ65591:RNJ65604 RXF65591:RXF65604 SHB65591:SHB65604 SQX65591:SQX65604 TAT65591:TAT65604 TKP65591:TKP65604 TUL65591:TUL65604 UEH65591:UEH65604 UOD65591:UOD65604 UXZ65591:UXZ65604 VHV65591:VHV65604 VRR65591:VRR65604 WBN65591:WBN65604 WLJ65591:WLJ65604 WVF65591:WVF65604 B131127:B131140 IT131127:IT131140 SP131127:SP131140 ACL131127:ACL131140 AMH131127:AMH131140 AWD131127:AWD131140 BFZ131127:BFZ131140 BPV131127:BPV131140 BZR131127:BZR131140 CJN131127:CJN131140 CTJ131127:CTJ131140 DDF131127:DDF131140 DNB131127:DNB131140 DWX131127:DWX131140 EGT131127:EGT131140 EQP131127:EQP131140 FAL131127:FAL131140 FKH131127:FKH131140 FUD131127:FUD131140 GDZ131127:GDZ131140 GNV131127:GNV131140 GXR131127:GXR131140 HHN131127:HHN131140 HRJ131127:HRJ131140 IBF131127:IBF131140 ILB131127:ILB131140 IUX131127:IUX131140 JET131127:JET131140 JOP131127:JOP131140 JYL131127:JYL131140 KIH131127:KIH131140 KSD131127:KSD131140 LBZ131127:LBZ131140 LLV131127:LLV131140 LVR131127:LVR131140 MFN131127:MFN131140 MPJ131127:MPJ131140 MZF131127:MZF131140 NJB131127:NJB131140 NSX131127:NSX131140 OCT131127:OCT131140 OMP131127:OMP131140 OWL131127:OWL131140 PGH131127:PGH131140 PQD131127:PQD131140 PZZ131127:PZZ131140 QJV131127:QJV131140 QTR131127:QTR131140 RDN131127:RDN131140 RNJ131127:RNJ131140 RXF131127:RXF131140 SHB131127:SHB131140 SQX131127:SQX131140 TAT131127:TAT131140 TKP131127:TKP131140 TUL131127:TUL131140 UEH131127:UEH131140 UOD131127:UOD131140 UXZ131127:UXZ131140 VHV131127:VHV131140 VRR131127:VRR131140 WBN131127:WBN131140 WLJ131127:WLJ131140 WVF131127:WVF131140 B196663:B196676 IT196663:IT196676 SP196663:SP196676 ACL196663:ACL196676 AMH196663:AMH196676 AWD196663:AWD196676 BFZ196663:BFZ196676 BPV196663:BPV196676 BZR196663:BZR196676 CJN196663:CJN196676 CTJ196663:CTJ196676 DDF196663:DDF196676 DNB196663:DNB196676 DWX196663:DWX196676 EGT196663:EGT196676 EQP196663:EQP196676 FAL196663:FAL196676 FKH196663:FKH196676 FUD196663:FUD196676 GDZ196663:GDZ196676 GNV196663:GNV196676 GXR196663:GXR196676 HHN196663:HHN196676 HRJ196663:HRJ196676 IBF196663:IBF196676 ILB196663:ILB196676 IUX196663:IUX196676 JET196663:JET196676 JOP196663:JOP196676 JYL196663:JYL196676 KIH196663:KIH196676 KSD196663:KSD196676 LBZ196663:LBZ196676 LLV196663:LLV196676 LVR196663:LVR196676 MFN196663:MFN196676 MPJ196663:MPJ196676 MZF196663:MZF196676 NJB196663:NJB196676 NSX196663:NSX196676 OCT196663:OCT196676 OMP196663:OMP196676 OWL196663:OWL196676 PGH196663:PGH196676 PQD196663:PQD196676 PZZ196663:PZZ196676 QJV196663:QJV196676 QTR196663:QTR196676 RDN196663:RDN196676 RNJ196663:RNJ196676 RXF196663:RXF196676 SHB196663:SHB196676 SQX196663:SQX196676 TAT196663:TAT196676 TKP196663:TKP196676 TUL196663:TUL196676 UEH196663:UEH196676 UOD196663:UOD196676 UXZ196663:UXZ196676 VHV196663:VHV196676 VRR196663:VRR196676 WBN196663:WBN196676 WLJ196663:WLJ196676 WVF196663:WVF196676 B262199:B262212 IT262199:IT262212 SP262199:SP262212 ACL262199:ACL262212 AMH262199:AMH262212 AWD262199:AWD262212 BFZ262199:BFZ262212 BPV262199:BPV262212 BZR262199:BZR262212 CJN262199:CJN262212 CTJ262199:CTJ262212 DDF262199:DDF262212 DNB262199:DNB262212 DWX262199:DWX262212 EGT262199:EGT262212 EQP262199:EQP262212 FAL262199:FAL262212 FKH262199:FKH262212 FUD262199:FUD262212 GDZ262199:GDZ262212 GNV262199:GNV262212 GXR262199:GXR262212 HHN262199:HHN262212 HRJ262199:HRJ262212 IBF262199:IBF262212 ILB262199:ILB262212 IUX262199:IUX262212 JET262199:JET262212 JOP262199:JOP262212 JYL262199:JYL262212 KIH262199:KIH262212 KSD262199:KSD262212 LBZ262199:LBZ262212 LLV262199:LLV262212 LVR262199:LVR262212 MFN262199:MFN262212 MPJ262199:MPJ262212 MZF262199:MZF262212 NJB262199:NJB262212 NSX262199:NSX262212 OCT262199:OCT262212 OMP262199:OMP262212 OWL262199:OWL262212 PGH262199:PGH262212 PQD262199:PQD262212 PZZ262199:PZZ262212 QJV262199:QJV262212 QTR262199:QTR262212 RDN262199:RDN262212 RNJ262199:RNJ262212 RXF262199:RXF262212 SHB262199:SHB262212 SQX262199:SQX262212 TAT262199:TAT262212 TKP262199:TKP262212 TUL262199:TUL262212 UEH262199:UEH262212 UOD262199:UOD262212 UXZ262199:UXZ262212 VHV262199:VHV262212 VRR262199:VRR262212 WBN262199:WBN262212 WLJ262199:WLJ262212 WVF262199:WVF262212 B327735:B327748 IT327735:IT327748 SP327735:SP327748 ACL327735:ACL327748 AMH327735:AMH327748 AWD327735:AWD327748 BFZ327735:BFZ327748 BPV327735:BPV327748 BZR327735:BZR327748 CJN327735:CJN327748 CTJ327735:CTJ327748 DDF327735:DDF327748 DNB327735:DNB327748 DWX327735:DWX327748 EGT327735:EGT327748 EQP327735:EQP327748 FAL327735:FAL327748 FKH327735:FKH327748 FUD327735:FUD327748 GDZ327735:GDZ327748 GNV327735:GNV327748 GXR327735:GXR327748 HHN327735:HHN327748 HRJ327735:HRJ327748 IBF327735:IBF327748 ILB327735:ILB327748 IUX327735:IUX327748 JET327735:JET327748 JOP327735:JOP327748 JYL327735:JYL327748 KIH327735:KIH327748 KSD327735:KSD327748 LBZ327735:LBZ327748 LLV327735:LLV327748 LVR327735:LVR327748 MFN327735:MFN327748 MPJ327735:MPJ327748 MZF327735:MZF327748 NJB327735:NJB327748 NSX327735:NSX327748 OCT327735:OCT327748 OMP327735:OMP327748 OWL327735:OWL327748 PGH327735:PGH327748 PQD327735:PQD327748 PZZ327735:PZZ327748 QJV327735:QJV327748 QTR327735:QTR327748 RDN327735:RDN327748 RNJ327735:RNJ327748 RXF327735:RXF327748 SHB327735:SHB327748 SQX327735:SQX327748 TAT327735:TAT327748 TKP327735:TKP327748 TUL327735:TUL327748 UEH327735:UEH327748 UOD327735:UOD327748 UXZ327735:UXZ327748 VHV327735:VHV327748 VRR327735:VRR327748 WBN327735:WBN327748 WLJ327735:WLJ327748 WVF327735:WVF327748 B393271:B393284 IT393271:IT393284 SP393271:SP393284 ACL393271:ACL393284 AMH393271:AMH393284 AWD393271:AWD393284 BFZ393271:BFZ393284 BPV393271:BPV393284 BZR393271:BZR393284 CJN393271:CJN393284 CTJ393271:CTJ393284 DDF393271:DDF393284 DNB393271:DNB393284 DWX393271:DWX393284 EGT393271:EGT393284 EQP393271:EQP393284 FAL393271:FAL393284 FKH393271:FKH393284 FUD393271:FUD393284 GDZ393271:GDZ393284 GNV393271:GNV393284 GXR393271:GXR393284 HHN393271:HHN393284 HRJ393271:HRJ393284 IBF393271:IBF393284 ILB393271:ILB393284 IUX393271:IUX393284 JET393271:JET393284 JOP393271:JOP393284 JYL393271:JYL393284 KIH393271:KIH393284 KSD393271:KSD393284 LBZ393271:LBZ393284 LLV393271:LLV393284 LVR393271:LVR393284 MFN393271:MFN393284 MPJ393271:MPJ393284 MZF393271:MZF393284 NJB393271:NJB393284 NSX393271:NSX393284 OCT393271:OCT393284 OMP393271:OMP393284 OWL393271:OWL393284 PGH393271:PGH393284 PQD393271:PQD393284 PZZ393271:PZZ393284 QJV393271:QJV393284 QTR393271:QTR393284 RDN393271:RDN393284 RNJ393271:RNJ393284 RXF393271:RXF393284 SHB393271:SHB393284 SQX393271:SQX393284 TAT393271:TAT393284 TKP393271:TKP393284 TUL393271:TUL393284 UEH393271:UEH393284 UOD393271:UOD393284 UXZ393271:UXZ393284 VHV393271:VHV393284 VRR393271:VRR393284 WBN393271:WBN393284 WLJ393271:WLJ393284 WVF393271:WVF393284 B458807:B458820 IT458807:IT458820 SP458807:SP458820 ACL458807:ACL458820 AMH458807:AMH458820 AWD458807:AWD458820 BFZ458807:BFZ458820 BPV458807:BPV458820 BZR458807:BZR458820 CJN458807:CJN458820 CTJ458807:CTJ458820 DDF458807:DDF458820 DNB458807:DNB458820 DWX458807:DWX458820 EGT458807:EGT458820 EQP458807:EQP458820 FAL458807:FAL458820 FKH458807:FKH458820 FUD458807:FUD458820 GDZ458807:GDZ458820 GNV458807:GNV458820 GXR458807:GXR458820 HHN458807:HHN458820 HRJ458807:HRJ458820 IBF458807:IBF458820 ILB458807:ILB458820 IUX458807:IUX458820 JET458807:JET458820 JOP458807:JOP458820 JYL458807:JYL458820 KIH458807:KIH458820 KSD458807:KSD458820 LBZ458807:LBZ458820 LLV458807:LLV458820 LVR458807:LVR458820 MFN458807:MFN458820 MPJ458807:MPJ458820 MZF458807:MZF458820 NJB458807:NJB458820 NSX458807:NSX458820 OCT458807:OCT458820 OMP458807:OMP458820 OWL458807:OWL458820 PGH458807:PGH458820 PQD458807:PQD458820 PZZ458807:PZZ458820 QJV458807:QJV458820 QTR458807:QTR458820 RDN458807:RDN458820 RNJ458807:RNJ458820 RXF458807:RXF458820 SHB458807:SHB458820 SQX458807:SQX458820 TAT458807:TAT458820 TKP458807:TKP458820 TUL458807:TUL458820 UEH458807:UEH458820 UOD458807:UOD458820 UXZ458807:UXZ458820 VHV458807:VHV458820 VRR458807:VRR458820 WBN458807:WBN458820 WLJ458807:WLJ458820 WVF458807:WVF458820 B524343:B524356 IT524343:IT524356 SP524343:SP524356 ACL524343:ACL524356 AMH524343:AMH524356 AWD524343:AWD524356 BFZ524343:BFZ524356 BPV524343:BPV524356 BZR524343:BZR524356 CJN524343:CJN524356 CTJ524343:CTJ524356 DDF524343:DDF524356 DNB524343:DNB524356 DWX524343:DWX524356 EGT524343:EGT524356 EQP524343:EQP524356 FAL524343:FAL524356 FKH524343:FKH524356 FUD524343:FUD524356 GDZ524343:GDZ524356 GNV524343:GNV524356 GXR524343:GXR524356 HHN524343:HHN524356 HRJ524343:HRJ524356 IBF524343:IBF524356 ILB524343:ILB524356 IUX524343:IUX524356 JET524343:JET524356 JOP524343:JOP524356 JYL524343:JYL524356 KIH524343:KIH524356 KSD524343:KSD524356 LBZ524343:LBZ524356 LLV524343:LLV524356 LVR524343:LVR524356 MFN524343:MFN524356 MPJ524343:MPJ524356 MZF524343:MZF524356 NJB524343:NJB524356 NSX524343:NSX524356 OCT524343:OCT524356 OMP524343:OMP524356 OWL524343:OWL524356 PGH524343:PGH524356 PQD524343:PQD524356 PZZ524343:PZZ524356 QJV524343:QJV524356 QTR524343:QTR524356 RDN524343:RDN524356 RNJ524343:RNJ524356 RXF524343:RXF524356 SHB524343:SHB524356 SQX524343:SQX524356 TAT524343:TAT524356 TKP524343:TKP524356 TUL524343:TUL524356 UEH524343:UEH524356 UOD524343:UOD524356 UXZ524343:UXZ524356 VHV524343:VHV524356 VRR524343:VRR524356 WBN524343:WBN524356 WLJ524343:WLJ524356 WVF524343:WVF524356 B589879:B589892 IT589879:IT589892 SP589879:SP589892 ACL589879:ACL589892 AMH589879:AMH589892 AWD589879:AWD589892 BFZ589879:BFZ589892 BPV589879:BPV589892 BZR589879:BZR589892 CJN589879:CJN589892 CTJ589879:CTJ589892 DDF589879:DDF589892 DNB589879:DNB589892 DWX589879:DWX589892 EGT589879:EGT589892 EQP589879:EQP589892 FAL589879:FAL589892 FKH589879:FKH589892 FUD589879:FUD589892 GDZ589879:GDZ589892 GNV589879:GNV589892 GXR589879:GXR589892 HHN589879:HHN589892 HRJ589879:HRJ589892 IBF589879:IBF589892 ILB589879:ILB589892 IUX589879:IUX589892 JET589879:JET589892 JOP589879:JOP589892 JYL589879:JYL589892 KIH589879:KIH589892 KSD589879:KSD589892 LBZ589879:LBZ589892 LLV589879:LLV589892 LVR589879:LVR589892 MFN589879:MFN589892 MPJ589879:MPJ589892 MZF589879:MZF589892 NJB589879:NJB589892 NSX589879:NSX589892 OCT589879:OCT589892 OMP589879:OMP589892 OWL589879:OWL589892 PGH589879:PGH589892 PQD589879:PQD589892 PZZ589879:PZZ589892 QJV589879:QJV589892 QTR589879:QTR589892 RDN589879:RDN589892 RNJ589879:RNJ589892 RXF589879:RXF589892 SHB589879:SHB589892 SQX589879:SQX589892 TAT589879:TAT589892 TKP589879:TKP589892 TUL589879:TUL589892 UEH589879:UEH589892 UOD589879:UOD589892 UXZ589879:UXZ589892 VHV589879:VHV589892 VRR589879:VRR589892 WBN589879:WBN589892 WLJ589879:WLJ589892 WVF589879:WVF589892 B655415:B655428 IT655415:IT655428 SP655415:SP655428 ACL655415:ACL655428 AMH655415:AMH655428 AWD655415:AWD655428 BFZ655415:BFZ655428 BPV655415:BPV655428 BZR655415:BZR655428 CJN655415:CJN655428 CTJ655415:CTJ655428 DDF655415:DDF655428 DNB655415:DNB655428 DWX655415:DWX655428 EGT655415:EGT655428 EQP655415:EQP655428 FAL655415:FAL655428 FKH655415:FKH655428 FUD655415:FUD655428 GDZ655415:GDZ655428 GNV655415:GNV655428 GXR655415:GXR655428 HHN655415:HHN655428 HRJ655415:HRJ655428 IBF655415:IBF655428 ILB655415:ILB655428 IUX655415:IUX655428 JET655415:JET655428 JOP655415:JOP655428 JYL655415:JYL655428 KIH655415:KIH655428 KSD655415:KSD655428 LBZ655415:LBZ655428 LLV655415:LLV655428 LVR655415:LVR655428 MFN655415:MFN655428 MPJ655415:MPJ655428 MZF655415:MZF655428 NJB655415:NJB655428 NSX655415:NSX655428 OCT655415:OCT655428 OMP655415:OMP655428 OWL655415:OWL655428 PGH655415:PGH655428 PQD655415:PQD655428 PZZ655415:PZZ655428 QJV655415:QJV655428 QTR655415:QTR655428 RDN655415:RDN655428 RNJ655415:RNJ655428 RXF655415:RXF655428 SHB655415:SHB655428 SQX655415:SQX655428 TAT655415:TAT655428 TKP655415:TKP655428 TUL655415:TUL655428 UEH655415:UEH655428 UOD655415:UOD655428 UXZ655415:UXZ655428 VHV655415:VHV655428 VRR655415:VRR655428 WBN655415:WBN655428 WLJ655415:WLJ655428 WVF655415:WVF655428 B720951:B720964 IT720951:IT720964 SP720951:SP720964 ACL720951:ACL720964 AMH720951:AMH720964 AWD720951:AWD720964 BFZ720951:BFZ720964 BPV720951:BPV720964 BZR720951:BZR720964 CJN720951:CJN720964 CTJ720951:CTJ720964 DDF720951:DDF720964 DNB720951:DNB720964 DWX720951:DWX720964 EGT720951:EGT720964 EQP720951:EQP720964 FAL720951:FAL720964 FKH720951:FKH720964 FUD720951:FUD720964 GDZ720951:GDZ720964 GNV720951:GNV720964 GXR720951:GXR720964 HHN720951:HHN720964 HRJ720951:HRJ720964 IBF720951:IBF720964 ILB720951:ILB720964 IUX720951:IUX720964 JET720951:JET720964 JOP720951:JOP720964 JYL720951:JYL720964 KIH720951:KIH720964 KSD720951:KSD720964 LBZ720951:LBZ720964 LLV720951:LLV720964 LVR720951:LVR720964 MFN720951:MFN720964 MPJ720951:MPJ720964 MZF720951:MZF720964 NJB720951:NJB720964 NSX720951:NSX720964 OCT720951:OCT720964 OMP720951:OMP720964 OWL720951:OWL720964 PGH720951:PGH720964 PQD720951:PQD720964 PZZ720951:PZZ720964 QJV720951:QJV720964 QTR720951:QTR720964 RDN720951:RDN720964 RNJ720951:RNJ720964 RXF720951:RXF720964 SHB720951:SHB720964 SQX720951:SQX720964 TAT720951:TAT720964 TKP720951:TKP720964 TUL720951:TUL720964 UEH720951:UEH720964 UOD720951:UOD720964 UXZ720951:UXZ720964 VHV720951:VHV720964 VRR720951:VRR720964 WBN720951:WBN720964 WLJ720951:WLJ720964 WVF720951:WVF720964 B786487:B786500 IT786487:IT786500 SP786487:SP786500 ACL786487:ACL786500 AMH786487:AMH786500 AWD786487:AWD786500 BFZ786487:BFZ786500 BPV786487:BPV786500 BZR786487:BZR786500 CJN786487:CJN786500 CTJ786487:CTJ786500 DDF786487:DDF786500 DNB786487:DNB786500 DWX786487:DWX786500 EGT786487:EGT786500 EQP786487:EQP786500 FAL786487:FAL786500 FKH786487:FKH786500 FUD786487:FUD786500 GDZ786487:GDZ786500 GNV786487:GNV786500 GXR786487:GXR786500 HHN786487:HHN786500 HRJ786487:HRJ786500 IBF786487:IBF786500 ILB786487:ILB786500 IUX786487:IUX786500 JET786487:JET786500 JOP786487:JOP786500 JYL786487:JYL786500 KIH786487:KIH786500 KSD786487:KSD786500 LBZ786487:LBZ786500 LLV786487:LLV786500 LVR786487:LVR786500 MFN786487:MFN786500 MPJ786487:MPJ786500 MZF786487:MZF786500 NJB786487:NJB786500 NSX786487:NSX786500 OCT786487:OCT786500 OMP786487:OMP786500 OWL786487:OWL786500 PGH786487:PGH786500 PQD786487:PQD786500 PZZ786487:PZZ786500 QJV786487:QJV786500 QTR786487:QTR786500 RDN786487:RDN786500 RNJ786487:RNJ786500 RXF786487:RXF786500 SHB786487:SHB786500 SQX786487:SQX786500 TAT786487:TAT786500 TKP786487:TKP786500 TUL786487:TUL786500 UEH786487:UEH786500 UOD786487:UOD786500 UXZ786487:UXZ786500 VHV786487:VHV786500 VRR786487:VRR786500 WBN786487:WBN786500 WLJ786487:WLJ786500 WVF786487:WVF786500 B852023:B852036 IT852023:IT852036 SP852023:SP852036 ACL852023:ACL852036 AMH852023:AMH852036 AWD852023:AWD852036 BFZ852023:BFZ852036 BPV852023:BPV852036 BZR852023:BZR852036 CJN852023:CJN852036 CTJ852023:CTJ852036 DDF852023:DDF852036 DNB852023:DNB852036 DWX852023:DWX852036 EGT852023:EGT852036 EQP852023:EQP852036 FAL852023:FAL852036 FKH852023:FKH852036 FUD852023:FUD852036 GDZ852023:GDZ852036 GNV852023:GNV852036 GXR852023:GXR852036 HHN852023:HHN852036 HRJ852023:HRJ852036 IBF852023:IBF852036 ILB852023:ILB852036 IUX852023:IUX852036 JET852023:JET852036 JOP852023:JOP852036 JYL852023:JYL852036 KIH852023:KIH852036 KSD852023:KSD852036 LBZ852023:LBZ852036 LLV852023:LLV852036 LVR852023:LVR852036 MFN852023:MFN852036 MPJ852023:MPJ852036 MZF852023:MZF852036 NJB852023:NJB852036 NSX852023:NSX852036 OCT852023:OCT852036 OMP852023:OMP852036 OWL852023:OWL852036 PGH852023:PGH852036 PQD852023:PQD852036 PZZ852023:PZZ852036 QJV852023:QJV852036 QTR852023:QTR852036 RDN852023:RDN852036 RNJ852023:RNJ852036 RXF852023:RXF852036 SHB852023:SHB852036 SQX852023:SQX852036 TAT852023:TAT852036 TKP852023:TKP852036 TUL852023:TUL852036 UEH852023:UEH852036 UOD852023:UOD852036 UXZ852023:UXZ852036 VHV852023:VHV852036 VRR852023:VRR852036 WBN852023:WBN852036 WLJ852023:WLJ852036 WVF852023:WVF852036 B917559:B917572 IT917559:IT917572 SP917559:SP917572 ACL917559:ACL917572 AMH917559:AMH917572 AWD917559:AWD917572 BFZ917559:BFZ917572 BPV917559:BPV917572 BZR917559:BZR917572 CJN917559:CJN917572 CTJ917559:CTJ917572 DDF917559:DDF917572 DNB917559:DNB917572 DWX917559:DWX917572 EGT917559:EGT917572 EQP917559:EQP917572 FAL917559:FAL917572 FKH917559:FKH917572 FUD917559:FUD917572 GDZ917559:GDZ917572 GNV917559:GNV917572 GXR917559:GXR917572 HHN917559:HHN917572 HRJ917559:HRJ917572 IBF917559:IBF917572 ILB917559:ILB917572 IUX917559:IUX917572 JET917559:JET917572 JOP917559:JOP917572 JYL917559:JYL917572 KIH917559:KIH917572 KSD917559:KSD917572 LBZ917559:LBZ917572 LLV917559:LLV917572 LVR917559:LVR917572 MFN917559:MFN917572 MPJ917559:MPJ917572 MZF917559:MZF917572 NJB917559:NJB917572 NSX917559:NSX917572 OCT917559:OCT917572 OMP917559:OMP917572 OWL917559:OWL917572 PGH917559:PGH917572 PQD917559:PQD917572 PZZ917559:PZZ917572 QJV917559:QJV917572 QTR917559:QTR917572 RDN917559:RDN917572 RNJ917559:RNJ917572 RXF917559:RXF917572 SHB917559:SHB917572 SQX917559:SQX917572 TAT917559:TAT917572 TKP917559:TKP917572 TUL917559:TUL917572 UEH917559:UEH917572 UOD917559:UOD917572 UXZ917559:UXZ917572 VHV917559:VHV917572 VRR917559:VRR917572 WBN917559:WBN917572 WLJ917559:WLJ917572 WVF917559:WVF917572 B983095:B983108 IT983095:IT983108 SP983095:SP983108 ACL983095:ACL983108 AMH983095:AMH983108 AWD983095:AWD983108 BFZ983095:BFZ983108 BPV983095:BPV983108 BZR983095:BZR983108 CJN983095:CJN983108 CTJ983095:CTJ983108 DDF983095:DDF983108 DNB983095:DNB983108 DWX983095:DWX983108 EGT983095:EGT983108 EQP983095:EQP983108 FAL983095:FAL983108 FKH983095:FKH983108 FUD983095:FUD983108 GDZ983095:GDZ983108 GNV983095:GNV983108 GXR983095:GXR983108 HHN983095:HHN983108 HRJ983095:HRJ983108 IBF983095:IBF983108 ILB983095:ILB983108 IUX983095:IUX983108 JET983095:JET983108 JOP983095:JOP983108 JYL983095:JYL983108 KIH983095:KIH983108 KSD983095:KSD983108 LBZ983095:LBZ983108 LLV983095:LLV983108 LVR983095:LVR983108 MFN983095:MFN983108 MPJ983095:MPJ983108 MZF983095:MZF983108 NJB983095:NJB983108 NSX983095:NSX983108 OCT983095:OCT983108 OMP983095:OMP983108 OWL983095:OWL983108 PGH983095:PGH983108 PQD983095:PQD983108 PZZ983095:PZZ983108 QJV983095:QJV983108 QTR983095:QTR983108 RDN983095:RDN983108 RNJ983095:RNJ983108 RXF983095:RXF983108 SHB983095:SHB983108 SQX983095:SQX983108 TAT983095:TAT983108 TKP983095:TKP983108 TUL983095:TUL983108 UEH983095:UEH983108 UOD983095:UOD983108 UXZ983095:UXZ983108 VHV983095:VHV983108 VRR983095:VRR983108 WBN983095:WBN983108 WLJ983095:WLJ983108 WVF983095:WVF983108 B88:B98 IT88:IT98 SP88:SP98 ACL88:ACL98 AMH88:AMH98 AWD88:AWD98 BFZ88:BFZ98 BPV88:BPV98 BZR88:BZR98 CJN88:CJN98 CTJ88:CTJ98 DDF88:DDF98 DNB88:DNB98 DWX88:DWX98 EGT88:EGT98 EQP88:EQP98 FAL88:FAL98 FKH88:FKH98 FUD88:FUD98 GDZ88:GDZ98 GNV88:GNV98 GXR88:GXR98 HHN88:HHN98 HRJ88:HRJ98 IBF88:IBF98 ILB88:ILB98 IUX88:IUX98 JET88:JET98 JOP88:JOP98 JYL88:JYL98 KIH88:KIH98 KSD88:KSD98 LBZ88:LBZ98 LLV88:LLV98 LVR88:LVR98 MFN88:MFN98 MPJ88:MPJ98 MZF88:MZF98 NJB88:NJB98 NSX88:NSX98 OCT88:OCT98 OMP88:OMP98 OWL88:OWL98 PGH88:PGH98 PQD88:PQD98 PZZ88:PZZ98 QJV88:QJV98 QTR88:QTR98 RDN88:RDN98 RNJ88:RNJ98 RXF88:RXF98 SHB88:SHB98 SQX88:SQX98 TAT88:TAT98 TKP88:TKP98 TUL88:TUL98 UEH88:UEH98 UOD88:UOD98 UXZ88:UXZ98 VHV88:VHV98 VRR88:VRR98 WBN88:WBN98 WLJ88:WLJ98 WVF88:WVF98 B65624:B65634 IT65624:IT65634 SP65624:SP65634 ACL65624:ACL65634 AMH65624:AMH65634 AWD65624:AWD65634 BFZ65624:BFZ65634 BPV65624:BPV65634 BZR65624:BZR65634 CJN65624:CJN65634 CTJ65624:CTJ65634 DDF65624:DDF65634 DNB65624:DNB65634 DWX65624:DWX65634 EGT65624:EGT65634 EQP65624:EQP65634 FAL65624:FAL65634 FKH65624:FKH65634 FUD65624:FUD65634 GDZ65624:GDZ65634 GNV65624:GNV65634 GXR65624:GXR65634 HHN65624:HHN65634 HRJ65624:HRJ65634 IBF65624:IBF65634 ILB65624:ILB65634 IUX65624:IUX65634 JET65624:JET65634 JOP65624:JOP65634 JYL65624:JYL65634 KIH65624:KIH65634 KSD65624:KSD65634 LBZ65624:LBZ65634 LLV65624:LLV65634 LVR65624:LVR65634 MFN65624:MFN65634 MPJ65624:MPJ65634 MZF65624:MZF65634 NJB65624:NJB65634 NSX65624:NSX65634 OCT65624:OCT65634 OMP65624:OMP65634 OWL65624:OWL65634 PGH65624:PGH65634 PQD65624:PQD65634 PZZ65624:PZZ65634 QJV65624:QJV65634 QTR65624:QTR65634 RDN65624:RDN65634 RNJ65624:RNJ65634 RXF65624:RXF65634 SHB65624:SHB65634 SQX65624:SQX65634 TAT65624:TAT65634 TKP65624:TKP65634 TUL65624:TUL65634 UEH65624:UEH65634 UOD65624:UOD65634 UXZ65624:UXZ65634 VHV65624:VHV65634 VRR65624:VRR65634 WBN65624:WBN65634 WLJ65624:WLJ65634 WVF65624:WVF65634 B131160:B131170 IT131160:IT131170 SP131160:SP131170 ACL131160:ACL131170 AMH131160:AMH131170 AWD131160:AWD131170 BFZ131160:BFZ131170 BPV131160:BPV131170 BZR131160:BZR131170 CJN131160:CJN131170 CTJ131160:CTJ131170 DDF131160:DDF131170 DNB131160:DNB131170 DWX131160:DWX131170 EGT131160:EGT131170 EQP131160:EQP131170 FAL131160:FAL131170 FKH131160:FKH131170 FUD131160:FUD131170 GDZ131160:GDZ131170 GNV131160:GNV131170 GXR131160:GXR131170 HHN131160:HHN131170 HRJ131160:HRJ131170 IBF131160:IBF131170 ILB131160:ILB131170 IUX131160:IUX131170 JET131160:JET131170 JOP131160:JOP131170 JYL131160:JYL131170 KIH131160:KIH131170 KSD131160:KSD131170 LBZ131160:LBZ131170 LLV131160:LLV131170 LVR131160:LVR131170 MFN131160:MFN131170 MPJ131160:MPJ131170 MZF131160:MZF131170 NJB131160:NJB131170 NSX131160:NSX131170 OCT131160:OCT131170 OMP131160:OMP131170 OWL131160:OWL131170 PGH131160:PGH131170 PQD131160:PQD131170 PZZ131160:PZZ131170 QJV131160:QJV131170 QTR131160:QTR131170 RDN131160:RDN131170 RNJ131160:RNJ131170 RXF131160:RXF131170 SHB131160:SHB131170 SQX131160:SQX131170 TAT131160:TAT131170 TKP131160:TKP131170 TUL131160:TUL131170 UEH131160:UEH131170 UOD131160:UOD131170 UXZ131160:UXZ131170 VHV131160:VHV131170 VRR131160:VRR131170 WBN131160:WBN131170 WLJ131160:WLJ131170 WVF131160:WVF131170 B196696:B196706 IT196696:IT196706 SP196696:SP196706 ACL196696:ACL196706 AMH196696:AMH196706 AWD196696:AWD196706 BFZ196696:BFZ196706 BPV196696:BPV196706 BZR196696:BZR196706 CJN196696:CJN196706 CTJ196696:CTJ196706 DDF196696:DDF196706 DNB196696:DNB196706 DWX196696:DWX196706 EGT196696:EGT196706 EQP196696:EQP196706 FAL196696:FAL196706 FKH196696:FKH196706 FUD196696:FUD196706 GDZ196696:GDZ196706 GNV196696:GNV196706 GXR196696:GXR196706 HHN196696:HHN196706 HRJ196696:HRJ196706 IBF196696:IBF196706 ILB196696:ILB196706 IUX196696:IUX196706 JET196696:JET196706 JOP196696:JOP196706 JYL196696:JYL196706 KIH196696:KIH196706 KSD196696:KSD196706 LBZ196696:LBZ196706 LLV196696:LLV196706 LVR196696:LVR196706 MFN196696:MFN196706 MPJ196696:MPJ196706 MZF196696:MZF196706 NJB196696:NJB196706 NSX196696:NSX196706 OCT196696:OCT196706 OMP196696:OMP196706 OWL196696:OWL196706 PGH196696:PGH196706 PQD196696:PQD196706 PZZ196696:PZZ196706 QJV196696:QJV196706 QTR196696:QTR196706 RDN196696:RDN196706 RNJ196696:RNJ196706 RXF196696:RXF196706 SHB196696:SHB196706 SQX196696:SQX196706 TAT196696:TAT196706 TKP196696:TKP196706 TUL196696:TUL196706 UEH196696:UEH196706 UOD196696:UOD196706 UXZ196696:UXZ196706 VHV196696:VHV196706 VRR196696:VRR196706 WBN196696:WBN196706 WLJ196696:WLJ196706 WVF196696:WVF196706 B262232:B262242 IT262232:IT262242 SP262232:SP262242 ACL262232:ACL262242 AMH262232:AMH262242 AWD262232:AWD262242 BFZ262232:BFZ262242 BPV262232:BPV262242 BZR262232:BZR262242 CJN262232:CJN262242 CTJ262232:CTJ262242 DDF262232:DDF262242 DNB262232:DNB262242 DWX262232:DWX262242 EGT262232:EGT262242 EQP262232:EQP262242 FAL262232:FAL262242 FKH262232:FKH262242 FUD262232:FUD262242 GDZ262232:GDZ262242 GNV262232:GNV262242 GXR262232:GXR262242 HHN262232:HHN262242 HRJ262232:HRJ262242 IBF262232:IBF262242 ILB262232:ILB262242 IUX262232:IUX262242 JET262232:JET262242 JOP262232:JOP262242 JYL262232:JYL262242 KIH262232:KIH262242 KSD262232:KSD262242 LBZ262232:LBZ262242 LLV262232:LLV262242 LVR262232:LVR262242 MFN262232:MFN262242 MPJ262232:MPJ262242 MZF262232:MZF262242 NJB262232:NJB262242 NSX262232:NSX262242 OCT262232:OCT262242 OMP262232:OMP262242 OWL262232:OWL262242 PGH262232:PGH262242 PQD262232:PQD262242 PZZ262232:PZZ262242 QJV262232:QJV262242 QTR262232:QTR262242 RDN262232:RDN262242 RNJ262232:RNJ262242 RXF262232:RXF262242 SHB262232:SHB262242 SQX262232:SQX262242 TAT262232:TAT262242 TKP262232:TKP262242 TUL262232:TUL262242 UEH262232:UEH262242 UOD262232:UOD262242 UXZ262232:UXZ262242 VHV262232:VHV262242 VRR262232:VRR262242 WBN262232:WBN262242 WLJ262232:WLJ262242 WVF262232:WVF262242 B327768:B327778 IT327768:IT327778 SP327768:SP327778 ACL327768:ACL327778 AMH327768:AMH327778 AWD327768:AWD327778 BFZ327768:BFZ327778 BPV327768:BPV327778 BZR327768:BZR327778 CJN327768:CJN327778 CTJ327768:CTJ327778 DDF327768:DDF327778 DNB327768:DNB327778 DWX327768:DWX327778 EGT327768:EGT327778 EQP327768:EQP327778 FAL327768:FAL327778 FKH327768:FKH327778 FUD327768:FUD327778 GDZ327768:GDZ327778 GNV327768:GNV327778 GXR327768:GXR327778 HHN327768:HHN327778 HRJ327768:HRJ327778 IBF327768:IBF327778 ILB327768:ILB327778 IUX327768:IUX327778 JET327768:JET327778 JOP327768:JOP327778 JYL327768:JYL327778 KIH327768:KIH327778 KSD327768:KSD327778 LBZ327768:LBZ327778 LLV327768:LLV327778 LVR327768:LVR327778 MFN327768:MFN327778 MPJ327768:MPJ327778 MZF327768:MZF327778 NJB327768:NJB327778 NSX327768:NSX327778 OCT327768:OCT327778 OMP327768:OMP327778 OWL327768:OWL327778 PGH327768:PGH327778 PQD327768:PQD327778 PZZ327768:PZZ327778 QJV327768:QJV327778 QTR327768:QTR327778 RDN327768:RDN327778 RNJ327768:RNJ327778 RXF327768:RXF327778 SHB327768:SHB327778 SQX327768:SQX327778 TAT327768:TAT327778 TKP327768:TKP327778 TUL327768:TUL327778 UEH327768:UEH327778 UOD327768:UOD327778 UXZ327768:UXZ327778 VHV327768:VHV327778 VRR327768:VRR327778 WBN327768:WBN327778 WLJ327768:WLJ327778 WVF327768:WVF327778 B393304:B393314 IT393304:IT393314 SP393304:SP393314 ACL393304:ACL393314 AMH393304:AMH393314 AWD393304:AWD393314 BFZ393304:BFZ393314 BPV393304:BPV393314 BZR393304:BZR393314 CJN393304:CJN393314 CTJ393304:CTJ393314 DDF393304:DDF393314 DNB393304:DNB393314 DWX393304:DWX393314 EGT393304:EGT393314 EQP393304:EQP393314 FAL393304:FAL393314 FKH393304:FKH393314 FUD393304:FUD393314 GDZ393304:GDZ393314 GNV393304:GNV393314 GXR393304:GXR393314 HHN393304:HHN393314 HRJ393304:HRJ393314 IBF393304:IBF393314 ILB393304:ILB393314 IUX393304:IUX393314 JET393304:JET393314 JOP393304:JOP393314 JYL393304:JYL393314 KIH393304:KIH393314 KSD393304:KSD393314 LBZ393304:LBZ393314 LLV393304:LLV393314 LVR393304:LVR393314 MFN393304:MFN393314 MPJ393304:MPJ393314 MZF393304:MZF393314 NJB393304:NJB393314 NSX393304:NSX393314 OCT393304:OCT393314 OMP393304:OMP393314 OWL393304:OWL393314 PGH393304:PGH393314 PQD393304:PQD393314 PZZ393304:PZZ393314 QJV393304:QJV393314 QTR393304:QTR393314 RDN393304:RDN393314 RNJ393304:RNJ393314 RXF393304:RXF393314 SHB393304:SHB393314 SQX393304:SQX393314 TAT393304:TAT393314 TKP393304:TKP393314 TUL393304:TUL393314 UEH393304:UEH393314 UOD393304:UOD393314 UXZ393304:UXZ393314 VHV393304:VHV393314 VRR393304:VRR393314 WBN393304:WBN393314 WLJ393304:WLJ393314 WVF393304:WVF393314 B458840:B458850 IT458840:IT458850 SP458840:SP458850 ACL458840:ACL458850 AMH458840:AMH458850 AWD458840:AWD458850 BFZ458840:BFZ458850 BPV458840:BPV458850 BZR458840:BZR458850 CJN458840:CJN458850 CTJ458840:CTJ458850 DDF458840:DDF458850 DNB458840:DNB458850 DWX458840:DWX458850 EGT458840:EGT458850 EQP458840:EQP458850 FAL458840:FAL458850 FKH458840:FKH458850 FUD458840:FUD458850 GDZ458840:GDZ458850 GNV458840:GNV458850 GXR458840:GXR458850 HHN458840:HHN458850 HRJ458840:HRJ458850 IBF458840:IBF458850 ILB458840:ILB458850 IUX458840:IUX458850 JET458840:JET458850 JOP458840:JOP458850 JYL458840:JYL458850 KIH458840:KIH458850 KSD458840:KSD458850 LBZ458840:LBZ458850 LLV458840:LLV458850 LVR458840:LVR458850 MFN458840:MFN458850 MPJ458840:MPJ458850 MZF458840:MZF458850 NJB458840:NJB458850 NSX458840:NSX458850 OCT458840:OCT458850 OMP458840:OMP458850 OWL458840:OWL458850 PGH458840:PGH458850 PQD458840:PQD458850 PZZ458840:PZZ458850 QJV458840:QJV458850 QTR458840:QTR458850 RDN458840:RDN458850 RNJ458840:RNJ458850 RXF458840:RXF458850 SHB458840:SHB458850 SQX458840:SQX458850 TAT458840:TAT458850 TKP458840:TKP458850 TUL458840:TUL458850 UEH458840:UEH458850 UOD458840:UOD458850 UXZ458840:UXZ458850 VHV458840:VHV458850 VRR458840:VRR458850 WBN458840:WBN458850 WLJ458840:WLJ458850 WVF458840:WVF458850 B524376:B524386 IT524376:IT524386 SP524376:SP524386 ACL524376:ACL524386 AMH524376:AMH524386 AWD524376:AWD524386 BFZ524376:BFZ524386 BPV524376:BPV524386 BZR524376:BZR524386 CJN524376:CJN524386 CTJ524376:CTJ524386 DDF524376:DDF524386 DNB524376:DNB524386 DWX524376:DWX524386 EGT524376:EGT524386 EQP524376:EQP524386 FAL524376:FAL524386 FKH524376:FKH524386 FUD524376:FUD524386 GDZ524376:GDZ524386 GNV524376:GNV524386 GXR524376:GXR524386 HHN524376:HHN524386 HRJ524376:HRJ524386 IBF524376:IBF524386 ILB524376:ILB524386 IUX524376:IUX524386 JET524376:JET524386 JOP524376:JOP524386 JYL524376:JYL524386 KIH524376:KIH524386 KSD524376:KSD524386 LBZ524376:LBZ524386 LLV524376:LLV524386 LVR524376:LVR524386 MFN524376:MFN524386 MPJ524376:MPJ524386 MZF524376:MZF524386 NJB524376:NJB524386 NSX524376:NSX524386 OCT524376:OCT524386 OMP524376:OMP524386 OWL524376:OWL524386 PGH524376:PGH524386 PQD524376:PQD524386 PZZ524376:PZZ524386 QJV524376:QJV524386 QTR524376:QTR524386 RDN524376:RDN524386 RNJ524376:RNJ524386 RXF524376:RXF524386 SHB524376:SHB524386 SQX524376:SQX524386 TAT524376:TAT524386 TKP524376:TKP524386 TUL524376:TUL524386 UEH524376:UEH524386 UOD524376:UOD524386 UXZ524376:UXZ524386 VHV524376:VHV524386 VRR524376:VRR524386 WBN524376:WBN524386 WLJ524376:WLJ524386 WVF524376:WVF524386 B589912:B589922 IT589912:IT589922 SP589912:SP589922 ACL589912:ACL589922 AMH589912:AMH589922 AWD589912:AWD589922 BFZ589912:BFZ589922 BPV589912:BPV589922 BZR589912:BZR589922 CJN589912:CJN589922 CTJ589912:CTJ589922 DDF589912:DDF589922 DNB589912:DNB589922 DWX589912:DWX589922 EGT589912:EGT589922 EQP589912:EQP589922 FAL589912:FAL589922 FKH589912:FKH589922 FUD589912:FUD589922 GDZ589912:GDZ589922 GNV589912:GNV589922 GXR589912:GXR589922 HHN589912:HHN589922 HRJ589912:HRJ589922 IBF589912:IBF589922 ILB589912:ILB589922 IUX589912:IUX589922 JET589912:JET589922 JOP589912:JOP589922 JYL589912:JYL589922 KIH589912:KIH589922 KSD589912:KSD589922 LBZ589912:LBZ589922 LLV589912:LLV589922 LVR589912:LVR589922 MFN589912:MFN589922 MPJ589912:MPJ589922 MZF589912:MZF589922 NJB589912:NJB589922 NSX589912:NSX589922 OCT589912:OCT589922 OMP589912:OMP589922 OWL589912:OWL589922 PGH589912:PGH589922 PQD589912:PQD589922 PZZ589912:PZZ589922 QJV589912:QJV589922 QTR589912:QTR589922 RDN589912:RDN589922 RNJ589912:RNJ589922 RXF589912:RXF589922 SHB589912:SHB589922 SQX589912:SQX589922 TAT589912:TAT589922 TKP589912:TKP589922 TUL589912:TUL589922 UEH589912:UEH589922 UOD589912:UOD589922 UXZ589912:UXZ589922 VHV589912:VHV589922 VRR589912:VRR589922 WBN589912:WBN589922 WLJ589912:WLJ589922 WVF589912:WVF589922 B655448:B655458 IT655448:IT655458 SP655448:SP655458 ACL655448:ACL655458 AMH655448:AMH655458 AWD655448:AWD655458 BFZ655448:BFZ655458 BPV655448:BPV655458 BZR655448:BZR655458 CJN655448:CJN655458 CTJ655448:CTJ655458 DDF655448:DDF655458 DNB655448:DNB655458 DWX655448:DWX655458 EGT655448:EGT655458 EQP655448:EQP655458 FAL655448:FAL655458 FKH655448:FKH655458 FUD655448:FUD655458 GDZ655448:GDZ655458 GNV655448:GNV655458 GXR655448:GXR655458 HHN655448:HHN655458 HRJ655448:HRJ655458 IBF655448:IBF655458 ILB655448:ILB655458 IUX655448:IUX655458 JET655448:JET655458 JOP655448:JOP655458 JYL655448:JYL655458 KIH655448:KIH655458 KSD655448:KSD655458 LBZ655448:LBZ655458 LLV655448:LLV655458 LVR655448:LVR655458 MFN655448:MFN655458 MPJ655448:MPJ655458 MZF655448:MZF655458 NJB655448:NJB655458 NSX655448:NSX655458 OCT655448:OCT655458 OMP655448:OMP655458 OWL655448:OWL655458 PGH655448:PGH655458 PQD655448:PQD655458 PZZ655448:PZZ655458 QJV655448:QJV655458 QTR655448:QTR655458 RDN655448:RDN655458 RNJ655448:RNJ655458 RXF655448:RXF655458 SHB655448:SHB655458 SQX655448:SQX655458 TAT655448:TAT655458 TKP655448:TKP655458 TUL655448:TUL655458 UEH655448:UEH655458 UOD655448:UOD655458 UXZ655448:UXZ655458 VHV655448:VHV655458 VRR655448:VRR655458 WBN655448:WBN655458 WLJ655448:WLJ655458 WVF655448:WVF655458 B720984:B720994 IT720984:IT720994 SP720984:SP720994 ACL720984:ACL720994 AMH720984:AMH720994 AWD720984:AWD720994 BFZ720984:BFZ720994 BPV720984:BPV720994 BZR720984:BZR720994 CJN720984:CJN720994 CTJ720984:CTJ720994 DDF720984:DDF720994 DNB720984:DNB720994 DWX720984:DWX720994 EGT720984:EGT720994 EQP720984:EQP720994 FAL720984:FAL720994 FKH720984:FKH720994 FUD720984:FUD720994 GDZ720984:GDZ720994 GNV720984:GNV720994 GXR720984:GXR720994 HHN720984:HHN720994 HRJ720984:HRJ720994 IBF720984:IBF720994 ILB720984:ILB720994 IUX720984:IUX720994 JET720984:JET720994 JOP720984:JOP720994 JYL720984:JYL720994 KIH720984:KIH720994 KSD720984:KSD720994 LBZ720984:LBZ720994 LLV720984:LLV720994 LVR720984:LVR720994 MFN720984:MFN720994 MPJ720984:MPJ720994 MZF720984:MZF720994 NJB720984:NJB720994 NSX720984:NSX720994 OCT720984:OCT720994 OMP720984:OMP720994 OWL720984:OWL720994 PGH720984:PGH720994 PQD720984:PQD720994 PZZ720984:PZZ720994 QJV720984:QJV720994 QTR720984:QTR720994 RDN720984:RDN720994 RNJ720984:RNJ720994 RXF720984:RXF720994 SHB720984:SHB720994 SQX720984:SQX720994 TAT720984:TAT720994 TKP720984:TKP720994 TUL720984:TUL720994 UEH720984:UEH720994 UOD720984:UOD720994 UXZ720984:UXZ720994 VHV720984:VHV720994 VRR720984:VRR720994 WBN720984:WBN720994 WLJ720984:WLJ720994 WVF720984:WVF720994 B786520:B786530 IT786520:IT786530 SP786520:SP786530 ACL786520:ACL786530 AMH786520:AMH786530 AWD786520:AWD786530 BFZ786520:BFZ786530 BPV786520:BPV786530 BZR786520:BZR786530 CJN786520:CJN786530 CTJ786520:CTJ786530 DDF786520:DDF786530 DNB786520:DNB786530 DWX786520:DWX786530 EGT786520:EGT786530 EQP786520:EQP786530 FAL786520:FAL786530 FKH786520:FKH786530 FUD786520:FUD786530 GDZ786520:GDZ786530 GNV786520:GNV786530 GXR786520:GXR786530 HHN786520:HHN786530 HRJ786520:HRJ786530 IBF786520:IBF786530 ILB786520:ILB786530 IUX786520:IUX786530 JET786520:JET786530 JOP786520:JOP786530 JYL786520:JYL786530 KIH786520:KIH786530 KSD786520:KSD786530 LBZ786520:LBZ786530 LLV786520:LLV786530 LVR786520:LVR786530 MFN786520:MFN786530 MPJ786520:MPJ786530 MZF786520:MZF786530 NJB786520:NJB786530 NSX786520:NSX786530 OCT786520:OCT786530 OMP786520:OMP786530 OWL786520:OWL786530 PGH786520:PGH786530 PQD786520:PQD786530 PZZ786520:PZZ786530 QJV786520:QJV786530 QTR786520:QTR786530 RDN786520:RDN786530 RNJ786520:RNJ786530 RXF786520:RXF786530 SHB786520:SHB786530 SQX786520:SQX786530 TAT786520:TAT786530 TKP786520:TKP786530 TUL786520:TUL786530 UEH786520:UEH786530 UOD786520:UOD786530 UXZ786520:UXZ786530 VHV786520:VHV786530 VRR786520:VRR786530 WBN786520:WBN786530 WLJ786520:WLJ786530 WVF786520:WVF786530 B852056:B852066 IT852056:IT852066 SP852056:SP852066 ACL852056:ACL852066 AMH852056:AMH852066 AWD852056:AWD852066 BFZ852056:BFZ852066 BPV852056:BPV852066 BZR852056:BZR852066 CJN852056:CJN852066 CTJ852056:CTJ852066 DDF852056:DDF852066 DNB852056:DNB852066 DWX852056:DWX852066 EGT852056:EGT852066 EQP852056:EQP852066 FAL852056:FAL852066 FKH852056:FKH852066 FUD852056:FUD852066 GDZ852056:GDZ852066 GNV852056:GNV852066 GXR852056:GXR852066 HHN852056:HHN852066 HRJ852056:HRJ852066 IBF852056:IBF852066 ILB852056:ILB852066 IUX852056:IUX852066 JET852056:JET852066 JOP852056:JOP852066 JYL852056:JYL852066 KIH852056:KIH852066 KSD852056:KSD852066 LBZ852056:LBZ852066 LLV852056:LLV852066 LVR852056:LVR852066 MFN852056:MFN852066 MPJ852056:MPJ852066 MZF852056:MZF852066 NJB852056:NJB852066 NSX852056:NSX852066 OCT852056:OCT852066 OMP852056:OMP852066 OWL852056:OWL852066 PGH852056:PGH852066 PQD852056:PQD852066 PZZ852056:PZZ852066 QJV852056:QJV852066 QTR852056:QTR852066 RDN852056:RDN852066 RNJ852056:RNJ852066 RXF852056:RXF852066 SHB852056:SHB852066 SQX852056:SQX852066 TAT852056:TAT852066 TKP852056:TKP852066 TUL852056:TUL852066 UEH852056:UEH852066 UOD852056:UOD852066 UXZ852056:UXZ852066 VHV852056:VHV852066 VRR852056:VRR852066 WBN852056:WBN852066 WLJ852056:WLJ852066 WVF852056:WVF852066 B917592:B917602 IT917592:IT917602 SP917592:SP917602 ACL917592:ACL917602 AMH917592:AMH917602 AWD917592:AWD917602 BFZ917592:BFZ917602 BPV917592:BPV917602 BZR917592:BZR917602 CJN917592:CJN917602 CTJ917592:CTJ917602 DDF917592:DDF917602 DNB917592:DNB917602 DWX917592:DWX917602 EGT917592:EGT917602 EQP917592:EQP917602 FAL917592:FAL917602 FKH917592:FKH917602 FUD917592:FUD917602 GDZ917592:GDZ917602 GNV917592:GNV917602 GXR917592:GXR917602 HHN917592:HHN917602 HRJ917592:HRJ917602 IBF917592:IBF917602 ILB917592:ILB917602 IUX917592:IUX917602 JET917592:JET917602 JOP917592:JOP917602 JYL917592:JYL917602 KIH917592:KIH917602 KSD917592:KSD917602 LBZ917592:LBZ917602 LLV917592:LLV917602 LVR917592:LVR917602 MFN917592:MFN917602 MPJ917592:MPJ917602 MZF917592:MZF917602 NJB917592:NJB917602 NSX917592:NSX917602 OCT917592:OCT917602 OMP917592:OMP917602 OWL917592:OWL917602 PGH917592:PGH917602 PQD917592:PQD917602 PZZ917592:PZZ917602 QJV917592:QJV917602 QTR917592:QTR917602 RDN917592:RDN917602 RNJ917592:RNJ917602 RXF917592:RXF917602 SHB917592:SHB917602 SQX917592:SQX917602 TAT917592:TAT917602 TKP917592:TKP917602 TUL917592:TUL917602 UEH917592:UEH917602 UOD917592:UOD917602 UXZ917592:UXZ917602 VHV917592:VHV917602 VRR917592:VRR917602 WBN917592:WBN917602 WLJ917592:WLJ917602 WVF917592:WVF917602 B983128:B983138 IT983128:IT983138 SP983128:SP983138 ACL983128:ACL983138 AMH983128:AMH983138 AWD983128:AWD983138 BFZ983128:BFZ983138 BPV983128:BPV983138 BZR983128:BZR983138 CJN983128:CJN983138 CTJ983128:CTJ983138 DDF983128:DDF983138 DNB983128:DNB983138 DWX983128:DWX983138 EGT983128:EGT983138 EQP983128:EQP983138 FAL983128:FAL983138 FKH983128:FKH983138 FUD983128:FUD983138 GDZ983128:GDZ983138 GNV983128:GNV983138 GXR983128:GXR983138 HHN983128:HHN983138 HRJ983128:HRJ983138 IBF983128:IBF983138 ILB983128:ILB983138 IUX983128:IUX983138 JET983128:JET983138 JOP983128:JOP983138 JYL983128:JYL983138 KIH983128:KIH983138 KSD983128:KSD983138 LBZ983128:LBZ983138 LLV983128:LLV983138 LVR983128:LVR983138 MFN983128:MFN983138 MPJ983128:MPJ983138 MZF983128:MZF983138 NJB983128:NJB983138 NSX983128:NSX983138 OCT983128:OCT983138 OMP983128:OMP983138 OWL983128:OWL983138 PGH983128:PGH983138 PQD983128:PQD983138 PZZ983128:PZZ983138 QJV983128:QJV983138 QTR983128:QTR983138 RDN983128:RDN983138 RNJ983128:RNJ983138 RXF983128:RXF983138 SHB983128:SHB983138 SQX983128:SQX983138 TAT983128:TAT983138 TKP983128:TKP983138 TUL983128:TUL983138 UEH983128:UEH983138 UOD983128:UOD983138 UXZ983128:UXZ983138 VHV983128:VHV983138 VRR983128:VRR983138 WBN983128:WBN983138 WLJ983128:WLJ983138 WVF983128:WVF983138 B77:B86 IT77:IT86 SP77:SP86 ACL77:ACL86 AMH77:AMH86 AWD77:AWD86 BFZ77:BFZ86 BPV77:BPV86 BZR77:BZR86 CJN77:CJN86 CTJ77:CTJ86 DDF77:DDF86 DNB77:DNB86 DWX77:DWX86 EGT77:EGT86 EQP77:EQP86 FAL77:FAL86 FKH77:FKH86 FUD77:FUD86 GDZ77:GDZ86 GNV77:GNV86 GXR77:GXR86 HHN77:HHN86 HRJ77:HRJ86 IBF77:IBF86 ILB77:ILB86 IUX77:IUX86 JET77:JET86 JOP77:JOP86 JYL77:JYL86 KIH77:KIH86 KSD77:KSD86 LBZ77:LBZ86 LLV77:LLV86 LVR77:LVR86 MFN77:MFN86 MPJ77:MPJ86 MZF77:MZF86 NJB77:NJB86 NSX77:NSX86 OCT77:OCT86 OMP77:OMP86 OWL77:OWL86 PGH77:PGH86 PQD77:PQD86 PZZ77:PZZ86 QJV77:QJV86 QTR77:QTR86 RDN77:RDN86 RNJ77:RNJ86 RXF77:RXF86 SHB77:SHB86 SQX77:SQX86 TAT77:TAT86 TKP77:TKP86 TUL77:TUL86 UEH77:UEH86 UOD77:UOD86 UXZ77:UXZ86 VHV77:VHV86 VRR77:VRR86 WBN77:WBN86 WLJ77:WLJ86 WVF77:WVF86 B65613:B65622 IT65613:IT65622 SP65613:SP65622 ACL65613:ACL65622 AMH65613:AMH65622 AWD65613:AWD65622 BFZ65613:BFZ65622 BPV65613:BPV65622 BZR65613:BZR65622 CJN65613:CJN65622 CTJ65613:CTJ65622 DDF65613:DDF65622 DNB65613:DNB65622 DWX65613:DWX65622 EGT65613:EGT65622 EQP65613:EQP65622 FAL65613:FAL65622 FKH65613:FKH65622 FUD65613:FUD65622 GDZ65613:GDZ65622 GNV65613:GNV65622 GXR65613:GXR65622 HHN65613:HHN65622 HRJ65613:HRJ65622 IBF65613:IBF65622 ILB65613:ILB65622 IUX65613:IUX65622 JET65613:JET65622 JOP65613:JOP65622 JYL65613:JYL65622 KIH65613:KIH65622 KSD65613:KSD65622 LBZ65613:LBZ65622 LLV65613:LLV65622 LVR65613:LVR65622 MFN65613:MFN65622 MPJ65613:MPJ65622 MZF65613:MZF65622 NJB65613:NJB65622 NSX65613:NSX65622 OCT65613:OCT65622 OMP65613:OMP65622 OWL65613:OWL65622 PGH65613:PGH65622 PQD65613:PQD65622 PZZ65613:PZZ65622 QJV65613:QJV65622 QTR65613:QTR65622 RDN65613:RDN65622 RNJ65613:RNJ65622 RXF65613:RXF65622 SHB65613:SHB65622 SQX65613:SQX65622 TAT65613:TAT65622 TKP65613:TKP65622 TUL65613:TUL65622 UEH65613:UEH65622 UOD65613:UOD65622 UXZ65613:UXZ65622 VHV65613:VHV65622 VRR65613:VRR65622 WBN65613:WBN65622 WLJ65613:WLJ65622 WVF65613:WVF65622 B131149:B131158 IT131149:IT131158 SP131149:SP131158 ACL131149:ACL131158 AMH131149:AMH131158 AWD131149:AWD131158 BFZ131149:BFZ131158 BPV131149:BPV131158 BZR131149:BZR131158 CJN131149:CJN131158 CTJ131149:CTJ131158 DDF131149:DDF131158 DNB131149:DNB131158 DWX131149:DWX131158 EGT131149:EGT131158 EQP131149:EQP131158 FAL131149:FAL131158 FKH131149:FKH131158 FUD131149:FUD131158 GDZ131149:GDZ131158 GNV131149:GNV131158 GXR131149:GXR131158 HHN131149:HHN131158 HRJ131149:HRJ131158 IBF131149:IBF131158 ILB131149:ILB131158 IUX131149:IUX131158 JET131149:JET131158 JOP131149:JOP131158 JYL131149:JYL131158 KIH131149:KIH131158 KSD131149:KSD131158 LBZ131149:LBZ131158 LLV131149:LLV131158 LVR131149:LVR131158 MFN131149:MFN131158 MPJ131149:MPJ131158 MZF131149:MZF131158 NJB131149:NJB131158 NSX131149:NSX131158 OCT131149:OCT131158 OMP131149:OMP131158 OWL131149:OWL131158 PGH131149:PGH131158 PQD131149:PQD131158 PZZ131149:PZZ131158 QJV131149:QJV131158 QTR131149:QTR131158 RDN131149:RDN131158 RNJ131149:RNJ131158 RXF131149:RXF131158 SHB131149:SHB131158 SQX131149:SQX131158 TAT131149:TAT131158 TKP131149:TKP131158 TUL131149:TUL131158 UEH131149:UEH131158 UOD131149:UOD131158 UXZ131149:UXZ131158 VHV131149:VHV131158 VRR131149:VRR131158 WBN131149:WBN131158 WLJ131149:WLJ131158 WVF131149:WVF131158 B196685:B196694 IT196685:IT196694 SP196685:SP196694 ACL196685:ACL196694 AMH196685:AMH196694 AWD196685:AWD196694 BFZ196685:BFZ196694 BPV196685:BPV196694 BZR196685:BZR196694 CJN196685:CJN196694 CTJ196685:CTJ196694 DDF196685:DDF196694 DNB196685:DNB196694 DWX196685:DWX196694 EGT196685:EGT196694 EQP196685:EQP196694 FAL196685:FAL196694 FKH196685:FKH196694 FUD196685:FUD196694 GDZ196685:GDZ196694 GNV196685:GNV196694 GXR196685:GXR196694 HHN196685:HHN196694 HRJ196685:HRJ196694 IBF196685:IBF196694 ILB196685:ILB196694 IUX196685:IUX196694 JET196685:JET196694 JOP196685:JOP196694 JYL196685:JYL196694 KIH196685:KIH196694 KSD196685:KSD196694 LBZ196685:LBZ196694 LLV196685:LLV196694 LVR196685:LVR196694 MFN196685:MFN196694 MPJ196685:MPJ196694 MZF196685:MZF196694 NJB196685:NJB196694 NSX196685:NSX196694 OCT196685:OCT196694 OMP196685:OMP196694 OWL196685:OWL196694 PGH196685:PGH196694 PQD196685:PQD196694 PZZ196685:PZZ196694 QJV196685:QJV196694 QTR196685:QTR196694 RDN196685:RDN196694 RNJ196685:RNJ196694 RXF196685:RXF196694 SHB196685:SHB196694 SQX196685:SQX196694 TAT196685:TAT196694 TKP196685:TKP196694 TUL196685:TUL196694 UEH196685:UEH196694 UOD196685:UOD196694 UXZ196685:UXZ196694 VHV196685:VHV196694 VRR196685:VRR196694 WBN196685:WBN196694 WLJ196685:WLJ196694 WVF196685:WVF196694 B262221:B262230 IT262221:IT262230 SP262221:SP262230 ACL262221:ACL262230 AMH262221:AMH262230 AWD262221:AWD262230 BFZ262221:BFZ262230 BPV262221:BPV262230 BZR262221:BZR262230 CJN262221:CJN262230 CTJ262221:CTJ262230 DDF262221:DDF262230 DNB262221:DNB262230 DWX262221:DWX262230 EGT262221:EGT262230 EQP262221:EQP262230 FAL262221:FAL262230 FKH262221:FKH262230 FUD262221:FUD262230 GDZ262221:GDZ262230 GNV262221:GNV262230 GXR262221:GXR262230 HHN262221:HHN262230 HRJ262221:HRJ262230 IBF262221:IBF262230 ILB262221:ILB262230 IUX262221:IUX262230 JET262221:JET262230 JOP262221:JOP262230 JYL262221:JYL262230 KIH262221:KIH262230 KSD262221:KSD262230 LBZ262221:LBZ262230 LLV262221:LLV262230 LVR262221:LVR262230 MFN262221:MFN262230 MPJ262221:MPJ262230 MZF262221:MZF262230 NJB262221:NJB262230 NSX262221:NSX262230 OCT262221:OCT262230 OMP262221:OMP262230 OWL262221:OWL262230 PGH262221:PGH262230 PQD262221:PQD262230 PZZ262221:PZZ262230 QJV262221:QJV262230 QTR262221:QTR262230 RDN262221:RDN262230 RNJ262221:RNJ262230 RXF262221:RXF262230 SHB262221:SHB262230 SQX262221:SQX262230 TAT262221:TAT262230 TKP262221:TKP262230 TUL262221:TUL262230 UEH262221:UEH262230 UOD262221:UOD262230 UXZ262221:UXZ262230 VHV262221:VHV262230 VRR262221:VRR262230 WBN262221:WBN262230 WLJ262221:WLJ262230 WVF262221:WVF262230 B327757:B327766 IT327757:IT327766 SP327757:SP327766 ACL327757:ACL327766 AMH327757:AMH327766 AWD327757:AWD327766 BFZ327757:BFZ327766 BPV327757:BPV327766 BZR327757:BZR327766 CJN327757:CJN327766 CTJ327757:CTJ327766 DDF327757:DDF327766 DNB327757:DNB327766 DWX327757:DWX327766 EGT327757:EGT327766 EQP327757:EQP327766 FAL327757:FAL327766 FKH327757:FKH327766 FUD327757:FUD327766 GDZ327757:GDZ327766 GNV327757:GNV327766 GXR327757:GXR327766 HHN327757:HHN327766 HRJ327757:HRJ327766 IBF327757:IBF327766 ILB327757:ILB327766 IUX327757:IUX327766 JET327757:JET327766 JOP327757:JOP327766 JYL327757:JYL327766 KIH327757:KIH327766 KSD327757:KSD327766 LBZ327757:LBZ327766 LLV327757:LLV327766 LVR327757:LVR327766 MFN327757:MFN327766 MPJ327757:MPJ327766 MZF327757:MZF327766 NJB327757:NJB327766 NSX327757:NSX327766 OCT327757:OCT327766 OMP327757:OMP327766 OWL327757:OWL327766 PGH327757:PGH327766 PQD327757:PQD327766 PZZ327757:PZZ327766 QJV327757:QJV327766 QTR327757:QTR327766 RDN327757:RDN327766 RNJ327757:RNJ327766 RXF327757:RXF327766 SHB327757:SHB327766 SQX327757:SQX327766 TAT327757:TAT327766 TKP327757:TKP327766 TUL327757:TUL327766 UEH327757:UEH327766 UOD327757:UOD327766 UXZ327757:UXZ327766 VHV327757:VHV327766 VRR327757:VRR327766 WBN327757:WBN327766 WLJ327757:WLJ327766 WVF327757:WVF327766 B393293:B393302 IT393293:IT393302 SP393293:SP393302 ACL393293:ACL393302 AMH393293:AMH393302 AWD393293:AWD393302 BFZ393293:BFZ393302 BPV393293:BPV393302 BZR393293:BZR393302 CJN393293:CJN393302 CTJ393293:CTJ393302 DDF393293:DDF393302 DNB393293:DNB393302 DWX393293:DWX393302 EGT393293:EGT393302 EQP393293:EQP393302 FAL393293:FAL393302 FKH393293:FKH393302 FUD393293:FUD393302 GDZ393293:GDZ393302 GNV393293:GNV393302 GXR393293:GXR393302 HHN393293:HHN393302 HRJ393293:HRJ393302 IBF393293:IBF393302 ILB393293:ILB393302 IUX393293:IUX393302 JET393293:JET393302 JOP393293:JOP393302 JYL393293:JYL393302 KIH393293:KIH393302 KSD393293:KSD393302 LBZ393293:LBZ393302 LLV393293:LLV393302 LVR393293:LVR393302 MFN393293:MFN393302 MPJ393293:MPJ393302 MZF393293:MZF393302 NJB393293:NJB393302 NSX393293:NSX393302 OCT393293:OCT393302 OMP393293:OMP393302 OWL393293:OWL393302 PGH393293:PGH393302 PQD393293:PQD393302 PZZ393293:PZZ393302 QJV393293:QJV393302 QTR393293:QTR393302 RDN393293:RDN393302 RNJ393293:RNJ393302 RXF393293:RXF393302 SHB393293:SHB393302 SQX393293:SQX393302 TAT393293:TAT393302 TKP393293:TKP393302 TUL393293:TUL393302 UEH393293:UEH393302 UOD393293:UOD393302 UXZ393293:UXZ393302 VHV393293:VHV393302 VRR393293:VRR393302 WBN393293:WBN393302 WLJ393293:WLJ393302 WVF393293:WVF393302 B458829:B458838 IT458829:IT458838 SP458829:SP458838 ACL458829:ACL458838 AMH458829:AMH458838 AWD458829:AWD458838 BFZ458829:BFZ458838 BPV458829:BPV458838 BZR458829:BZR458838 CJN458829:CJN458838 CTJ458829:CTJ458838 DDF458829:DDF458838 DNB458829:DNB458838 DWX458829:DWX458838 EGT458829:EGT458838 EQP458829:EQP458838 FAL458829:FAL458838 FKH458829:FKH458838 FUD458829:FUD458838 GDZ458829:GDZ458838 GNV458829:GNV458838 GXR458829:GXR458838 HHN458829:HHN458838 HRJ458829:HRJ458838 IBF458829:IBF458838 ILB458829:ILB458838 IUX458829:IUX458838 JET458829:JET458838 JOP458829:JOP458838 JYL458829:JYL458838 KIH458829:KIH458838 KSD458829:KSD458838 LBZ458829:LBZ458838 LLV458829:LLV458838 LVR458829:LVR458838 MFN458829:MFN458838 MPJ458829:MPJ458838 MZF458829:MZF458838 NJB458829:NJB458838 NSX458829:NSX458838 OCT458829:OCT458838 OMP458829:OMP458838 OWL458829:OWL458838 PGH458829:PGH458838 PQD458829:PQD458838 PZZ458829:PZZ458838 QJV458829:QJV458838 QTR458829:QTR458838 RDN458829:RDN458838 RNJ458829:RNJ458838 RXF458829:RXF458838 SHB458829:SHB458838 SQX458829:SQX458838 TAT458829:TAT458838 TKP458829:TKP458838 TUL458829:TUL458838 UEH458829:UEH458838 UOD458829:UOD458838 UXZ458829:UXZ458838 VHV458829:VHV458838 VRR458829:VRR458838 WBN458829:WBN458838 WLJ458829:WLJ458838 WVF458829:WVF458838 B524365:B524374 IT524365:IT524374 SP524365:SP524374 ACL524365:ACL524374 AMH524365:AMH524374 AWD524365:AWD524374 BFZ524365:BFZ524374 BPV524365:BPV524374 BZR524365:BZR524374 CJN524365:CJN524374 CTJ524365:CTJ524374 DDF524365:DDF524374 DNB524365:DNB524374 DWX524365:DWX524374 EGT524365:EGT524374 EQP524365:EQP524374 FAL524365:FAL524374 FKH524365:FKH524374 FUD524365:FUD524374 GDZ524365:GDZ524374 GNV524365:GNV524374 GXR524365:GXR524374 HHN524365:HHN524374 HRJ524365:HRJ524374 IBF524365:IBF524374 ILB524365:ILB524374 IUX524365:IUX524374 JET524365:JET524374 JOP524365:JOP524374 JYL524365:JYL524374 KIH524365:KIH524374 KSD524365:KSD524374 LBZ524365:LBZ524374 LLV524365:LLV524374 LVR524365:LVR524374 MFN524365:MFN524374 MPJ524365:MPJ524374 MZF524365:MZF524374 NJB524365:NJB524374 NSX524365:NSX524374 OCT524365:OCT524374 OMP524365:OMP524374 OWL524365:OWL524374 PGH524365:PGH524374 PQD524365:PQD524374 PZZ524365:PZZ524374 QJV524365:QJV524374 QTR524365:QTR524374 RDN524365:RDN524374 RNJ524365:RNJ524374 RXF524365:RXF524374 SHB524365:SHB524374 SQX524365:SQX524374 TAT524365:TAT524374 TKP524365:TKP524374 TUL524365:TUL524374 UEH524365:UEH524374 UOD524365:UOD524374 UXZ524365:UXZ524374 VHV524365:VHV524374 VRR524365:VRR524374 WBN524365:WBN524374 WLJ524365:WLJ524374 WVF524365:WVF524374 B589901:B589910 IT589901:IT589910 SP589901:SP589910 ACL589901:ACL589910 AMH589901:AMH589910 AWD589901:AWD589910 BFZ589901:BFZ589910 BPV589901:BPV589910 BZR589901:BZR589910 CJN589901:CJN589910 CTJ589901:CTJ589910 DDF589901:DDF589910 DNB589901:DNB589910 DWX589901:DWX589910 EGT589901:EGT589910 EQP589901:EQP589910 FAL589901:FAL589910 FKH589901:FKH589910 FUD589901:FUD589910 GDZ589901:GDZ589910 GNV589901:GNV589910 GXR589901:GXR589910 HHN589901:HHN589910 HRJ589901:HRJ589910 IBF589901:IBF589910 ILB589901:ILB589910 IUX589901:IUX589910 JET589901:JET589910 JOP589901:JOP589910 JYL589901:JYL589910 KIH589901:KIH589910 KSD589901:KSD589910 LBZ589901:LBZ589910 LLV589901:LLV589910 LVR589901:LVR589910 MFN589901:MFN589910 MPJ589901:MPJ589910 MZF589901:MZF589910 NJB589901:NJB589910 NSX589901:NSX589910 OCT589901:OCT589910 OMP589901:OMP589910 OWL589901:OWL589910 PGH589901:PGH589910 PQD589901:PQD589910 PZZ589901:PZZ589910 QJV589901:QJV589910 QTR589901:QTR589910 RDN589901:RDN589910 RNJ589901:RNJ589910 RXF589901:RXF589910 SHB589901:SHB589910 SQX589901:SQX589910 TAT589901:TAT589910 TKP589901:TKP589910 TUL589901:TUL589910 UEH589901:UEH589910 UOD589901:UOD589910 UXZ589901:UXZ589910 VHV589901:VHV589910 VRR589901:VRR589910 WBN589901:WBN589910 WLJ589901:WLJ589910 WVF589901:WVF589910 B655437:B655446 IT655437:IT655446 SP655437:SP655446 ACL655437:ACL655446 AMH655437:AMH655446 AWD655437:AWD655446 BFZ655437:BFZ655446 BPV655437:BPV655446 BZR655437:BZR655446 CJN655437:CJN655446 CTJ655437:CTJ655446 DDF655437:DDF655446 DNB655437:DNB655446 DWX655437:DWX655446 EGT655437:EGT655446 EQP655437:EQP655446 FAL655437:FAL655446 FKH655437:FKH655446 FUD655437:FUD655446 GDZ655437:GDZ655446 GNV655437:GNV655446 GXR655437:GXR655446 HHN655437:HHN655446 HRJ655437:HRJ655446 IBF655437:IBF655446 ILB655437:ILB655446 IUX655437:IUX655446 JET655437:JET655446 JOP655437:JOP655446 JYL655437:JYL655446 KIH655437:KIH655446 KSD655437:KSD655446 LBZ655437:LBZ655446 LLV655437:LLV655446 LVR655437:LVR655446 MFN655437:MFN655446 MPJ655437:MPJ655446 MZF655437:MZF655446 NJB655437:NJB655446 NSX655437:NSX655446 OCT655437:OCT655446 OMP655437:OMP655446 OWL655437:OWL655446 PGH655437:PGH655446 PQD655437:PQD655446 PZZ655437:PZZ655446 QJV655437:QJV655446 QTR655437:QTR655446 RDN655437:RDN655446 RNJ655437:RNJ655446 RXF655437:RXF655446 SHB655437:SHB655446 SQX655437:SQX655446 TAT655437:TAT655446 TKP655437:TKP655446 TUL655437:TUL655446 UEH655437:UEH655446 UOD655437:UOD655446 UXZ655437:UXZ655446 VHV655437:VHV655446 VRR655437:VRR655446 WBN655437:WBN655446 WLJ655437:WLJ655446 WVF655437:WVF655446 B720973:B720982 IT720973:IT720982 SP720973:SP720982 ACL720973:ACL720982 AMH720973:AMH720982 AWD720973:AWD720982 BFZ720973:BFZ720982 BPV720973:BPV720982 BZR720973:BZR720982 CJN720973:CJN720982 CTJ720973:CTJ720982 DDF720973:DDF720982 DNB720973:DNB720982 DWX720973:DWX720982 EGT720973:EGT720982 EQP720973:EQP720982 FAL720973:FAL720982 FKH720973:FKH720982 FUD720973:FUD720982 GDZ720973:GDZ720982 GNV720973:GNV720982 GXR720973:GXR720982 HHN720973:HHN720982 HRJ720973:HRJ720982 IBF720973:IBF720982 ILB720973:ILB720982 IUX720973:IUX720982 JET720973:JET720982 JOP720973:JOP720982 JYL720973:JYL720982 KIH720973:KIH720982 KSD720973:KSD720982 LBZ720973:LBZ720982 LLV720973:LLV720982 LVR720973:LVR720982 MFN720973:MFN720982 MPJ720973:MPJ720982 MZF720973:MZF720982 NJB720973:NJB720982 NSX720973:NSX720982 OCT720973:OCT720982 OMP720973:OMP720982 OWL720973:OWL720982 PGH720973:PGH720982 PQD720973:PQD720982 PZZ720973:PZZ720982 QJV720973:QJV720982 QTR720973:QTR720982 RDN720973:RDN720982 RNJ720973:RNJ720982 RXF720973:RXF720982 SHB720973:SHB720982 SQX720973:SQX720982 TAT720973:TAT720982 TKP720973:TKP720982 TUL720973:TUL720982 UEH720973:UEH720982 UOD720973:UOD720982 UXZ720973:UXZ720982 VHV720973:VHV720982 VRR720973:VRR720982 WBN720973:WBN720982 WLJ720973:WLJ720982 WVF720973:WVF720982 B786509:B786518 IT786509:IT786518 SP786509:SP786518 ACL786509:ACL786518 AMH786509:AMH786518 AWD786509:AWD786518 BFZ786509:BFZ786518 BPV786509:BPV786518 BZR786509:BZR786518 CJN786509:CJN786518 CTJ786509:CTJ786518 DDF786509:DDF786518 DNB786509:DNB786518 DWX786509:DWX786518 EGT786509:EGT786518 EQP786509:EQP786518 FAL786509:FAL786518 FKH786509:FKH786518 FUD786509:FUD786518 GDZ786509:GDZ786518 GNV786509:GNV786518 GXR786509:GXR786518 HHN786509:HHN786518 HRJ786509:HRJ786518 IBF786509:IBF786518 ILB786509:ILB786518 IUX786509:IUX786518 JET786509:JET786518 JOP786509:JOP786518 JYL786509:JYL786518 KIH786509:KIH786518 KSD786509:KSD786518 LBZ786509:LBZ786518 LLV786509:LLV786518 LVR786509:LVR786518 MFN786509:MFN786518 MPJ786509:MPJ786518 MZF786509:MZF786518 NJB786509:NJB786518 NSX786509:NSX786518 OCT786509:OCT786518 OMP786509:OMP786518 OWL786509:OWL786518 PGH786509:PGH786518 PQD786509:PQD786518 PZZ786509:PZZ786518 QJV786509:QJV786518 QTR786509:QTR786518 RDN786509:RDN786518 RNJ786509:RNJ786518 RXF786509:RXF786518 SHB786509:SHB786518 SQX786509:SQX786518 TAT786509:TAT786518 TKP786509:TKP786518 TUL786509:TUL786518 UEH786509:UEH786518 UOD786509:UOD786518 UXZ786509:UXZ786518 VHV786509:VHV786518 VRR786509:VRR786518 WBN786509:WBN786518 WLJ786509:WLJ786518 WVF786509:WVF786518 B852045:B852054 IT852045:IT852054 SP852045:SP852054 ACL852045:ACL852054 AMH852045:AMH852054 AWD852045:AWD852054 BFZ852045:BFZ852054 BPV852045:BPV852054 BZR852045:BZR852054 CJN852045:CJN852054 CTJ852045:CTJ852054 DDF852045:DDF852054 DNB852045:DNB852054 DWX852045:DWX852054 EGT852045:EGT852054 EQP852045:EQP852054 FAL852045:FAL852054 FKH852045:FKH852054 FUD852045:FUD852054 GDZ852045:GDZ852054 GNV852045:GNV852054 GXR852045:GXR852054 HHN852045:HHN852054 HRJ852045:HRJ852054 IBF852045:IBF852054 ILB852045:ILB852054 IUX852045:IUX852054 JET852045:JET852054 JOP852045:JOP852054 JYL852045:JYL852054 KIH852045:KIH852054 KSD852045:KSD852054 LBZ852045:LBZ852054 LLV852045:LLV852054 LVR852045:LVR852054 MFN852045:MFN852054 MPJ852045:MPJ852054 MZF852045:MZF852054 NJB852045:NJB852054 NSX852045:NSX852054 OCT852045:OCT852054 OMP852045:OMP852054 OWL852045:OWL852054 PGH852045:PGH852054 PQD852045:PQD852054 PZZ852045:PZZ852054 QJV852045:QJV852054 QTR852045:QTR852054 RDN852045:RDN852054 RNJ852045:RNJ852054 RXF852045:RXF852054 SHB852045:SHB852054 SQX852045:SQX852054 TAT852045:TAT852054 TKP852045:TKP852054 TUL852045:TUL852054 UEH852045:UEH852054 UOD852045:UOD852054 UXZ852045:UXZ852054 VHV852045:VHV852054 VRR852045:VRR852054 WBN852045:WBN852054 WLJ852045:WLJ852054 WVF852045:WVF852054 B917581:B917590 IT917581:IT917590 SP917581:SP917590 ACL917581:ACL917590 AMH917581:AMH917590 AWD917581:AWD917590 BFZ917581:BFZ917590 BPV917581:BPV917590 BZR917581:BZR917590 CJN917581:CJN917590 CTJ917581:CTJ917590 DDF917581:DDF917590 DNB917581:DNB917590 DWX917581:DWX917590 EGT917581:EGT917590 EQP917581:EQP917590 FAL917581:FAL917590 FKH917581:FKH917590 FUD917581:FUD917590 GDZ917581:GDZ917590 GNV917581:GNV917590 GXR917581:GXR917590 HHN917581:HHN917590 HRJ917581:HRJ917590 IBF917581:IBF917590 ILB917581:ILB917590 IUX917581:IUX917590 JET917581:JET917590 JOP917581:JOP917590 JYL917581:JYL917590 KIH917581:KIH917590 KSD917581:KSD917590 LBZ917581:LBZ917590 LLV917581:LLV917590 LVR917581:LVR917590 MFN917581:MFN917590 MPJ917581:MPJ917590 MZF917581:MZF917590 NJB917581:NJB917590 NSX917581:NSX917590 OCT917581:OCT917590 OMP917581:OMP917590 OWL917581:OWL917590 PGH917581:PGH917590 PQD917581:PQD917590 PZZ917581:PZZ917590 QJV917581:QJV917590 QTR917581:QTR917590 RDN917581:RDN917590 RNJ917581:RNJ917590 RXF917581:RXF917590 SHB917581:SHB917590 SQX917581:SQX917590 TAT917581:TAT917590 TKP917581:TKP917590 TUL917581:TUL917590 UEH917581:UEH917590 UOD917581:UOD917590 UXZ917581:UXZ917590 VHV917581:VHV917590 VRR917581:VRR917590 WBN917581:WBN917590 WLJ917581:WLJ917590 WVF917581:WVF917590 B983117:B983126 IT983117:IT983126 SP983117:SP983126 ACL983117:ACL983126 AMH983117:AMH983126 AWD983117:AWD983126 BFZ983117:BFZ983126 BPV983117:BPV983126 BZR983117:BZR983126 CJN983117:CJN983126 CTJ983117:CTJ983126 DDF983117:DDF983126 DNB983117:DNB983126 DWX983117:DWX983126 EGT983117:EGT983126 EQP983117:EQP983126 FAL983117:FAL983126 FKH983117:FKH983126 FUD983117:FUD983126 GDZ983117:GDZ983126 GNV983117:GNV983126 GXR983117:GXR983126 HHN983117:HHN983126 HRJ983117:HRJ983126 IBF983117:IBF983126 ILB983117:ILB983126 IUX983117:IUX983126 JET983117:JET983126 JOP983117:JOP983126 JYL983117:JYL983126 KIH983117:KIH983126 KSD983117:KSD983126 LBZ983117:LBZ983126 LLV983117:LLV983126 LVR983117:LVR983126 MFN983117:MFN983126 MPJ983117:MPJ983126 MZF983117:MZF983126 NJB983117:NJB983126 NSX983117:NSX983126 OCT983117:OCT983126 OMP983117:OMP983126 OWL983117:OWL983126 PGH983117:PGH983126 PQD983117:PQD983126 PZZ983117:PZZ983126 QJV983117:QJV983126 QTR983117:QTR983126 RDN983117:RDN983126 RNJ983117:RNJ983126 RXF983117:RXF983126 SHB983117:SHB983126 SQX983117:SQX983126 TAT983117:TAT983126 TKP983117:TKP983126 TUL983117:TUL983126 UEH983117:UEH983126 UOD983117:UOD983126 UXZ983117:UXZ983126 VHV983117:VHV983126 VRR983117:VRR983126 WBN983117:WBN983126 WLJ983117:WLJ983126 WVF983117:WVF983126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413"/>
  <sheetViews>
    <sheetView zoomScaleNormal="100" workbookViewId="0">
      <pane ySplit="6" topLeftCell="A68" activePane="bottomLeft" state="frozen"/>
      <selection pane="bottomLeft" sqref="A1:I1"/>
    </sheetView>
  </sheetViews>
  <sheetFormatPr baseColWidth="10" defaultColWidth="9.1640625" defaultRowHeight="15"/>
  <cols>
    <col min="1" max="1" width="24.83203125" style="3" customWidth="1"/>
    <col min="2" max="2" width="35.6640625" style="76" customWidth="1"/>
    <col min="3" max="3" width="10.5" style="5" customWidth="1"/>
    <col min="4" max="5" width="12.83203125" style="61" customWidth="1"/>
    <col min="6" max="6" width="13.33203125" style="73" customWidth="1"/>
    <col min="7" max="7" width="13.33203125" style="78" customWidth="1"/>
    <col min="8" max="8" width="13.33203125" style="73" customWidth="1"/>
    <col min="9" max="9" width="20.83203125" style="3" customWidth="1"/>
    <col min="10" max="10" width="9.1640625" style="70"/>
  </cols>
  <sheetData>
    <row r="1" spans="1:10" s="1" customFormat="1" ht="30" customHeight="1">
      <c r="A1" s="265" t="s">
        <v>437</v>
      </c>
      <c r="B1" s="265"/>
      <c r="C1" s="265"/>
      <c r="D1" s="265"/>
      <c r="E1" s="265"/>
      <c r="F1" s="265"/>
      <c r="G1" s="265"/>
      <c r="H1" s="265"/>
      <c r="I1" s="266"/>
      <c r="J1" s="132"/>
    </row>
    <row r="2" spans="1:10" s="1" customFormat="1" ht="16" customHeight="1">
      <c r="A2" s="267" t="s">
        <v>668</v>
      </c>
      <c r="B2" s="267"/>
      <c r="C2" s="267"/>
      <c r="D2" s="267"/>
      <c r="E2" s="267"/>
      <c r="F2" s="267"/>
      <c r="G2" s="267"/>
      <c r="H2" s="267"/>
      <c r="I2" s="268"/>
      <c r="J2" s="132"/>
    </row>
    <row r="3" spans="1:10" ht="54" customHeight="1">
      <c r="A3" s="264" t="s">
        <v>554</v>
      </c>
      <c r="B3" s="96" t="str">
        <f>'Оценка (раздел 1)'!F3</f>
        <v>1.2 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v>
      </c>
      <c r="C3" s="105" t="s">
        <v>98</v>
      </c>
      <c r="D3" s="263" t="s">
        <v>133</v>
      </c>
      <c r="E3" s="263" t="s">
        <v>118</v>
      </c>
      <c r="F3" s="263" t="s">
        <v>439</v>
      </c>
      <c r="G3" s="269"/>
      <c r="H3" s="269"/>
      <c r="I3" s="263" t="s">
        <v>130</v>
      </c>
    </row>
    <row r="4" spans="1:10" ht="20" customHeight="1">
      <c r="A4" s="263"/>
      <c r="B4" s="41" t="str">
        <f>'Методика (раздел 1)'!B14</f>
        <v>Да, содержится</v>
      </c>
      <c r="C4" s="262" t="s">
        <v>89</v>
      </c>
      <c r="D4" s="263"/>
      <c r="E4" s="263"/>
      <c r="F4" s="263" t="s">
        <v>110</v>
      </c>
      <c r="G4" s="264" t="s">
        <v>113</v>
      </c>
      <c r="H4" s="264" t="s">
        <v>134</v>
      </c>
      <c r="I4" s="263"/>
    </row>
    <row r="5" spans="1:10" ht="20" customHeight="1">
      <c r="A5" s="263"/>
      <c r="B5" s="41" t="str">
        <f>'Методика (раздел 1)'!B15</f>
        <v>Нет, не содержится или не отвечает требованиям</v>
      </c>
      <c r="C5" s="263"/>
      <c r="D5" s="263"/>
      <c r="E5" s="263"/>
      <c r="F5" s="263"/>
      <c r="G5" s="263"/>
      <c r="H5" s="263"/>
      <c r="I5" s="263"/>
    </row>
    <row r="6" spans="1:10" ht="16" customHeight="1">
      <c r="A6" s="133" t="s">
        <v>0</v>
      </c>
      <c r="B6" s="134"/>
      <c r="C6" s="133"/>
      <c r="D6" s="135"/>
      <c r="E6" s="135"/>
      <c r="F6" s="135"/>
      <c r="G6" s="79"/>
      <c r="H6" s="135"/>
      <c r="I6" s="208"/>
    </row>
    <row r="7" spans="1:10" ht="16" customHeight="1">
      <c r="A7" s="107" t="s">
        <v>1</v>
      </c>
      <c r="B7" s="50" t="s">
        <v>92</v>
      </c>
      <c r="C7" s="88">
        <f>IF(B7="Да, содержится",2,0)</f>
        <v>2</v>
      </c>
      <c r="D7" s="140" t="s">
        <v>121</v>
      </c>
      <c r="E7" s="140" t="s">
        <v>121</v>
      </c>
      <c r="F7" s="47">
        <v>246</v>
      </c>
      <c r="G7" s="49">
        <f>'1.1'!H7</f>
        <v>44918</v>
      </c>
      <c r="H7" s="47">
        <v>8</v>
      </c>
      <c r="I7" s="209" t="s">
        <v>111</v>
      </c>
    </row>
    <row r="8" spans="1:10" ht="16" customHeight="1">
      <c r="A8" s="107" t="s">
        <v>2</v>
      </c>
      <c r="B8" s="50" t="s">
        <v>92</v>
      </c>
      <c r="C8" s="88">
        <f t="shared" ref="C8:C71" si="0">IF(B8="Да, содержится",2,0)</f>
        <v>2</v>
      </c>
      <c r="D8" s="140" t="s">
        <v>121</v>
      </c>
      <c r="E8" s="140" t="s">
        <v>121</v>
      </c>
      <c r="F8" s="47" t="s">
        <v>328</v>
      </c>
      <c r="G8" s="49">
        <f>'1.1'!H8</f>
        <v>44907</v>
      </c>
      <c r="H8" s="47">
        <v>1</v>
      </c>
      <c r="I8" s="209" t="s">
        <v>111</v>
      </c>
    </row>
    <row r="9" spans="1:10" ht="16" customHeight="1">
      <c r="A9" s="107" t="s">
        <v>3</v>
      </c>
      <c r="B9" s="50" t="s">
        <v>92</v>
      </c>
      <c r="C9" s="88">
        <f t="shared" si="0"/>
        <v>2</v>
      </c>
      <c r="D9" s="140" t="s">
        <v>121</v>
      </c>
      <c r="E9" s="140" t="s">
        <v>121</v>
      </c>
      <c r="F9" s="47" t="s">
        <v>329</v>
      </c>
      <c r="G9" s="49">
        <f>'1.1'!H9</f>
        <v>44921</v>
      </c>
      <c r="H9" s="47">
        <v>1</v>
      </c>
      <c r="I9" s="209" t="s">
        <v>111</v>
      </c>
    </row>
    <row r="10" spans="1:10" ht="16" customHeight="1">
      <c r="A10" s="107" t="s">
        <v>4</v>
      </c>
      <c r="B10" s="50" t="s">
        <v>92</v>
      </c>
      <c r="C10" s="88">
        <f t="shared" si="0"/>
        <v>2</v>
      </c>
      <c r="D10" s="140" t="s">
        <v>121</v>
      </c>
      <c r="E10" s="140" t="s">
        <v>121</v>
      </c>
      <c r="F10" s="47" t="s">
        <v>440</v>
      </c>
      <c r="G10" s="49">
        <f>'1.1'!H10</f>
        <v>44914</v>
      </c>
      <c r="H10" s="47">
        <v>1</v>
      </c>
      <c r="I10" s="209" t="s">
        <v>111</v>
      </c>
    </row>
    <row r="11" spans="1:10" ht="16" customHeight="1">
      <c r="A11" s="107" t="s">
        <v>5</v>
      </c>
      <c r="B11" s="50" t="s">
        <v>92</v>
      </c>
      <c r="C11" s="88">
        <f t="shared" si="0"/>
        <v>2</v>
      </c>
      <c r="D11" s="140" t="s">
        <v>121</v>
      </c>
      <c r="E11" s="140" t="s">
        <v>121</v>
      </c>
      <c r="F11" s="47" t="s">
        <v>330</v>
      </c>
      <c r="G11" s="49">
        <f>'1.1'!H11</f>
        <v>44914</v>
      </c>
      <c r="H11" s="47">
        <v>4</v>
      </c>
      <c r="I11" s="209" t="s">
        <v>111</v>
      </c>
    </row>
    <row r="12" spans="1:10" ht="16" customHeight="1">
      <c r="A12" s="107" t="s">
        <v>6</v>
      </c>
      <c r="B12" s="50" t="s">
        <v>92</v>
      </c>
      <c r="C12" s="88">
        <f t="shared" si="0"/>
        <v>2</v>
      </c>
      <c r="D12" s="140" t="s">
        <v>121</v>
      </c>
      <c r="E12" s="140" t="s">
        <v>121</v>
      </c>
      <c r="F12" s="47" t="s">
        <v>332</v>
      </c>
      <c r="G12" s="49">
        <f>'1.1'!H12</f>
        <v>44896</v>
      </c>
      <c r="H12" s="54" t="s">
        <v>331</v>
      </c>
      <c r="I12" s="136" t="s">
        <v>111</v>
      </c>
    </row>
    <row r="13" spans="1:10" ht="16" customHeight="1">
      <c r="A13" s="107" t="s">
        <v>7</v>
      </c>
      <c r="B13" s="50" t="s">
        <v>92</v>
      </c>
      <c r="C13" s="88">
        <f t="shared" si="0"/>
        <v>2</v>
      </c>
      <c r="D13" s="140" t="s">
        <v>121</v>
      </c>
      <c r="E13" s="140" t="s">
        <v>121</v>
      </c>
      <c r="F13" s="47" t="s">
        <v>333</v>
      </c>
      <c r="G13" s="49">
        <f>'1.1'!H13</f>
        <v>44914</v>
      </c>
      <c r="H13" s="47">
        <v>3</v>
      </c>
      <c r="I13" s="209" t="s">
        <v>111</v>
      </c>
    </row>
    <row r="14" spans="1:10" ht="16" customHeight="1">
      <c r="A14" s="107" t="s">
        <v>8</v>
      </c>
      <c r="B14" s="50" t="s">
        <v>92</v>
      </c>
      <c r="C14" s="88">
        <f t="shared" si="0"/>
        <v>2</v>
      </c>
      <c r="D14" s="140" t="s">
        <v>121</v>
      </c>
      <c r="E14" s="140" t="s">
        <v>121</v>
      </c>
      <c r="F14" s="47" t="s">
        <v>334</v>
      </c>
      <c r="G14" s="49">
        <f>'1.1'!H14</f>
        <v>44914</v>
      </c>
      <c r="H14" s="47">
        <v>2</v>
      </c>
      <c r="I14" s="50" t="s">
        <v>111</v>
      </c>
    </row>
    <row r="15" spans="1:10" ht="16" customHeight="1">
      <c r="A15" s="107" t="s">
        <v>9</v>
      </c>
      <c r="B15" s="50" t="s">
        <v>92</v>
      </c>
      <c r="C15" s="88">
        <f t="shared" si="0"/>
        <v>2</v>
      </c>
      <c r="D15" s="140" t="s">
        <v>121</v>
      </c>
      <c r="E15" s="140" t="s">
        <v>121</v>
      </c>
      <c r="F15" s="47" t="s">
        <v>335</v>
      </c>
      <c r="G15" s="49">
        <f>'1.1'!H15</f>
        <v>44902</v>
      </c>
      <c r="H15" s="54" t="s">
        <v>144</v>
      </c>
      <c r="I15" s="209" t="s">
        <v>111</v>
      </c>
    </row>
    <row r="16" spans="1:10" ht="16" customHeight="1">
      <c r="A16" s="107" t="s">
        <v>10</v>
      </c>
      <c r="B16" s="50" t="s">
        <v>92</v>
      </c>
      <c r="C16" s="88">
        <f t="shared" si="0"/>
        <v>2</v>
      </c>
      <c r="D16" s="140" t="s">
        <v>121</v>
      </c>
      <c r="E16" s="140" t="s">
        <v>121</v>
      </c>
      <c r="F16" s="47" t="s">
        <v>327</v>
      </c>
      <c r="G16" s="49">
        <f>'1.1'!H16</f>
        <v>44902</v>
      </c>
      <c r="H16" s="47">
        <v>5</v>
      </c>
      <c r="I16" s="209" t="s">
        <v>111</v>
      </c>
    </row>
    <row r="17" spans="1:96" ht="16" customHeight="1">
      <c r="A17" s="107" t="s">
        <v>11</v>
      </c>
      <c r="B17" s="50" t="s">
        <v>91</v>
      </c>
      <c r="C17" s="88">
        <f t="shared" si="0"/>
        <v>0</v>
      </c>
      <c r="D17" s="140" t="s">
        <v>122</v>
      </c>
      <c r="E17" s="140" t="s">
        <v>121</v>
      </c>
      <c r="F17" s="47" t="s">
        <v>336</v>
      </c>
      <c r="G17" s="49">
        <f>'1.1'!H17</f>
        <v>44897</v>
      </c>
      <c r="H17" s="47">
        <v>5</v>
      </c>
      <c r="I17" s="136" t="s">
        <v>190</v>
      </c>
      <c r="J17" s="70" t="s">
        <v>111</v>
      </c>
    </row>
    <row r="18" spans="1:96" ht="16" customHeight="1">
      <c r="A18" s="107" t="s">
        <v>12</v>
      </c>
      <c r="B18" s="50" t="s">
        <v>92</v>
      </c>
      <c r="C18" s="88">
        <f t="shared" si="0"/>
        <v>2</v>
      </c>
      <c r="D18" s="140" t="s">
        <v>121</v>
      </c>
      <c r="E18" s="140" t="s">
        <v>121</v>
      </c>
      <c r="F18" s="47" t="s">
        <v>337</v>
      </c>
      <c r="G18" s="49">
        <f>'1.1'!H18</f>
        <v>44921</v>
      </c>
      <c r="H18" s="47">
        <v>1</v>
      </c>
      <c r="I18" s="209" t="s">
        <v>111</v>
      </c>
    </row>
    <row r="19" spans="1:96" ht="16" customHeight="1">
      <c r="A19" s="107" t="s">
        <v>13</v>
      </c>
      <c r="B19" s="50" t="s">
        <v>92</v>
      </c>
      <c r="C19" s="88">
        <f t="shared" si="0"/>
        <v>2</v>
      </c>
      <c r="D19" s="140" t="s">
        <v>121</v>
      </c>
      <c r="E19" s="140" t="s">
        <v>121</v>
      </c>
      <c r="F19" s="47" t="s">
        <v>338</v>
      </c>
      <c r="G19" s="49">
        <f>'1.1'!H19</f>
        <v>44910</v>
      </c>
      <c r="H19" s="54" t="s">
        <v>211</v>
      </c>
      <c r="I19" s="50" t="s">
        <v>111</v>
      </c>
    </row>
    <row r="20" spans="1:96" ht="16" customHeight="1">
      <c r="A20" s="107" t="s">
        <v>14</v>
      </c>
      <c r="B20" s="50" t="s">
        <v>92</v>
      </c>
      <c r="C20" s="88">
        <f t="shared" si="0"/>
        <v>2</v>
      </c>
      <c r="D20" s="140" t="s">
        <v>121</v>
      </c>
      <c r="E20" s="140" t="s">
        <v>121</v>
      </c>
      <c r="F20" s="47" t="s">
        <v>340</v>
      </c>
      <c r="G20" s="49">
        <f>'1.1'!H20</f>
        <v>44918</v>
      </c>
      <c r="H20" s="47">
        <v>4</v>
      </c>
      <c r="I20" s="209" t="s">
        <v>111</v>
      </c>
    </row>
    <row r="21" spans="1:96" s="31" customFormat="1" ht="16" customHeight="1">
      <c r="A21" s="107" t="s">
        <v>15</v>
      </c>
      <c r="B21" s="137" t="s">
        <v>92</v>
      </c>
      <c r="C21" s="138">
        <f t="shared" si="0"/>
        <v>2</v>
      </c>
      <c r="D21" s="227" t="s">
        <v>121</v>
      </c>
      <c r="E21" s="227" t="s">
        <v>121</v>
      </c>
      <c r="F21" s="47" t="s">
        <v>339</v>
      </c>
      <c r="G21" s="49">
        <f>'1.1'!H21</f>
        <v>44924</v>
      </c>
      <c r="H21" s="139">
        <v>5</v>
      </c>
      <c r="I21" s="209" t="s">
        <v>111</v>
      </c>
      <c r="J21" s="70"/>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6" customHeight="1">
      <c r="A22" s="107" t="s">
        <v>16</v>
      </c>
      <c r="B22" s="50" t="s">
        <v>92</v>
      </c>
      <c r="C22" s="88">
        <f t="shared" si="0"/>
        <v>2</v>
      </c>
      <c r="D22" s="140" t="s">
        <v>121</v>
      </c>
      <c r="E22" s="140" t="s">
        <v>121</v>
      </c>
      <c r="F22" s="47" t="s">
        <v>341</v>
      </c>
      <c r="G22" s="49">
        <f>'1.1'!H22</f>
        <v>44916</v>
      </c>
      <c r="H22" s="47" t="s">
        <v>142</v>
      </c>
      <c r="I22" s="209" t="s">
        <v>111</v>
      </c>
    </row>
    <row r="23" spans="1:96" ht="16" customHeight="1">
      <c r="A23" s="107" t="s">
        <v>17</v>
      </c>
      <c r="B23" s="50" t="s">
        <v>92</v>
      </c>
      <c r="C23" s="88">
        <f t="shared" si="0"/>
        <v>2</v>
      </c>
      <c r="D23" s="140" t="s">
        <v>121</v>
      </c>
      <c r="E23" s="140" t="s">
        <v>121</v>
      </c>
      <c r="F23" s="47" t="s">
        <v>342</v>
      </c>
      <c r="G23" s="49">
        <f>'1.1'!H23</f>
        <v>44918</v>
      </c>
      <c r="H23" s="47" t="s">
        <v>147</v>
      </c>
      <c r="I23" s="209" t="s">
        <v>111</v>
      </c>
    </row>
    <row r="24" spans="1:96" ht="16" customHeight="1">
      <c r="A24" s="107" t="s">
        <v>545</v>
      </c>
      <c r="B24" s="50" t="s">
        <v>91</v>
      </c>
      <c r="C24" s="88">
        <f t="shared" si="0"/>
        <v>0</v>
      </c>
      <c r="D24" s="140" t="s">
        <v>122</v>
      </c>
      <c r="E24" s="140" t="s">
        <v>122</v>
      </c>
      <c r="F24" s="47">
        <v>30</v>
      </c>
      <c r="G24" s="49">
        <f>'1.1'!H24</f>
        <v>44867</v>
      </c>
      <c r="H24" s="47" t="s">
        <v>122</v>
      </c>
      <c r="I24" s="136" t="s">
        <v>665</v>
      </c>
    </row>
    <row r="25" spans="1:96" ht="16" customHeight="1">
      <c r="A25" s="120" t="s">
        <v>18</v>
      </c>
      <c r="B25" s="85"/>
      <c r="C25" s="43"/>
      <c r="D25" s="226"/>
      <c r="E25" s="226"/>
      <c r="F25" s="226"/>
      <c r="G25" s="44"/>
      <c r="H25" s="42"/>
      <c r="I25" s="210"/>
    </row>
    <row r="26" spans="1:96" ht="16" customHeight="1">
      <c r="A26" s="107" t="s">
        <v>19</v>
      </c>
      <c r="B26" s="50" t="s">
        <v>92</v>
      </c>
      <c r="C26" s="88">
        <f t="shared" si="0"/>
        <v>2</v>
      </c>
      <c r="D26" s="140" t="s">
        <v>121</v>
      </c>
      <c r="E26" s="140" t="s">
        <v>121</v>
      </c>
      <c r="F26" s="47" t="s">
        <v>345</v>
      </c>
      <c r="G26" s="49">
        <f>'1.1'!H26</f>
        <v>44916</v>
      </c>
      <c r="H26" s="47">
        <v>2</v>
      </c>
      <c r="I26" s="209" t="s">
        <v>111</v>
      </c>
    </row>
    <row r="27" spans="1:96" ht="16" customHeight="1">
      <c r="A27" s="107" t="s">
        <v>20</v>
      </c>
      <c r="B27" s="50" t="s">
        <v>91</v>
      </c>
      <c r="C27" s="88">
        <f t="shared" si="0"/>
        <v>0</v>
      </c>
      <c r="D27" s="140" t="s">
        <v>122</v>
      </c>
      <c r="E27" s="140" t="s">
        <v>122</v>
      </c>
      <c r="F27" s="47" t="s">
        <v>346</v>
      </c>
      <c r="G27" s="49">
        <f>'1.1'!H27</f>
        <v>44900</v>
      </c>
      <c r="H27" s="47" t="s">
        <v>122</v>
      </c>
      <c r="I27" s="136" t="s">
        <v>665</v>
      </c>
    </row>
    <row r="28" spans="1:96" ht="16" customHeight="1">
      <c r="A28" s="107" t="s">
        <v>21</v>
      </c>
      <c r="B28" s="50" t="s">
        <v>92</v>
      </c>
      <c r="C28" s="88">
        <f t="shared" si="0"/>
        <v>2</v>
      </c>
      <c r="D28" s="140" t="s">
        <v>121</v>
      </c>
      <c r="E28" s="140" t="s">
        <v>121</v>
      </c>
      <c r="F28" s="47" t="s">
        <v>347</v>
      </c>
      <c r="G28" s="49">
        <f>'1.1'!H28</f>
        <v>44915</v>
      </c>
      <c r="H28" s="47">
        <v>3</v>
      </c>
      <c r="I28" s="209" t="s">
        <v>111</v>
      </c>
    </row>
    <row r="29" spans="1:96" ht="16" customHeight="1">
      <c r="A29" s="107" t="s">
        <v>22</v>
      </c>
      <c r="B29" s="50" t="s">
        <v>92</v>
      </c>
      <c r="C29" s="88">
        <f t="shared" si="0"/>
        <v>2</v>
      </c>
      <c r="D29" s="140" t="s">
        <v>121</v>
      </c>
      <c r="E29" s="140" t="s">
        <v>121</v>
      </c>
      <c r="F29" s="47" t="s">
        <v>348</v>
      </c>
      <c r="G29" s="49">
        <f>'1.1'!H29</f>
        <v>44908</v>
      </c>
      <c r="H29" s="47">
        <v>2</v>
      </c>
      <c r="I29" s="209" t="s">
        <v>111</v>
      </c>
    </row>
    <row r="30" spans="1:96" ht="16" customHeight="1">
      <c r="A30" s="107" t="s">
        <v>23</v>
      </c>
      <c r="B30" s="50" t="s">
        <v>92</v>
      </c>
      <c r="C30" s="88">
        <f t="shared" si="0"/>
        <v>2</v>
      </c>
      <c r="D30" s="140" t="s">
        <v>121</v>
      </c>
      <c r="E30" s="140" t="s">
        <v>121</v>
      </c>
      <c r="F30" s="47">
        <v>167</v>
      </c>
      <c r="G30" s="49">
        <f>'1.1'!H30</f>
        <v>44917</v>
      </c>
      <c r="H30" s="54" t="s">
        <v>146</v>
      </c>
      <c r="I30" s="209" t="s">
        <v>111</v>
      </c>
    </row>
    <row r="31" spans="1:96" ht="16" customHeight="1">
      <c r="A31" s="107" t="s">
        <v>24</v>
      </c>
      <c r="B31" s="50" t="s">
        <v>92</v>
      </c>
      <c r="C31" s="88">
        <f t="shared" si="0"/>
        <v>2</v>
      </c>
      <c r="D31" s="140" t="s">
        <v>121</v>
      </c>
      <c r="E31" s="140" t="s">
        <v>121</v>
      </c>
      <c r="F31" s="47" t="s">
        <v>343</v>
      </c>
      <c r="G31" s="49">
        <f>'1.1'!H31</f>
        <v>44914</v>
      </c>
      <c r="H31" s="47">
        <v>1</v>
      </c>
      <c r="I31" s="209" t="s">
        <v>111</v>
      </c>
    </row>
    <row r="32" spans="1:96" ht="16" customHeight="1">
      <c r="A32" s="107" t="s">
        <v>25</v>
      </c>
      <c r="B32" s="50" t="s">
        <v>92</v>
      </c>
      <c r="C32" s="88">
        <f t="shared" si="0"/>
        <v>2</v>
      </c>
      <c r="D32" s="140" t="s">
        <v>121</v>
      </c>
      <c r="E32" s="140" t="s">
        <v>121</v>
      </c>
      <c r="F32" s="47" t="s">
        <v>349</v>
      </c>
      <c r="G32" s="49">
        <f>'1.1'!H32</f>
        <v>44915</v>
      </c>
      <c r="H32" s="47" t="s">
        <v>350</v>
      </c>
      <c r="I32" s="209" t="s">
        <v>111</v>
      </c>
    </row>
    <row r="33" spans="1:98" ht="16" customHeight="1">
      <c r="A33" s="107" t="s">
        <v>26</v>
      </c>
      <c r="B33" s="50" t="s">
        <v>91</v>
      </c>
      <c r="C33" s="88">
        <f t="shared" si="0"/>
        <v>0</v>
      </c>
      <c r="D33" s="140" t="s">
        <v>122</v>
      </c>
      <c r="E33" s="140" t="s">
        <v>121</v>
      </c>
      <c r="F33" s="47" t="s">
        <v>352</v>
      </c>
      <c r="G33" s="49">
        <f>'1.1'!H33</f>
        <v>44917</v>
      </c>
      <c r="H33" s="47">
        <v>1</v>
      </c>
      <c r="I33" s="136" t="s">
        <v>190</v>
      </c>
      <c r="J33" s="70" t="s">
        <v>111</v>
      </c>
    </row>
    <row r="34" spans="1:98" ht="16" customHeight="1">
      <c r="A34" s="107" t="s">
        <v>27</v>
      </c>
      <c r="B34" s="50" t="s">
        <v>92</v>
      </c>
      <c r="C34" s="88">
        <f t="shared" si="0"/>
        <v>2</v>
      </c>
      <c r="D34" s="140" t="s">
        <v>121</v>
      </c>
      <c r="E34" s="140" t="s">
        <v>121</v>
      </c>
      <c r="F34" s="47" t="s">
        <v>353</v>
      </c>
      <c r="G34" s="49">
        <f>'1.1'!H34</f>
        <v>44924</v>
      </c>
      <c r="H34" s="47" t="s">
        <v>142</v>
      </c>
      <c r="I34" s="209" t="s">
        <v>111</v>
      </c>
    </row>
    <row r="35" spans="1:98" ht="16" customHeight="1">
      <c r="A35" s="107" t="s">
        <v>546</v>
      </c>
      <c r="B35" s="50" t="s">
        <v>92</v>
      </c>
      <c r="C35" s="88">
        <f t="shared" si="0"/>
        <v>2</v>
      </c>
      <c r="D35" s="140" t="s">
        <v>121</v>
      </c>
      <c r="E35" s="140" t="s">
        <v>121</v>
      </c>
      <c r="F35" s="47" t="s">
        <v>344</v>
      </c>
      <c r="G35" s="49">
        <f>'1.1'!H35</f>
        <v>44888</v>
      </c>
      <c r="H35" s="47">
        <v>1</v>
      </c>
      <c r="I35" s="209" t="s">
        <v>111</v>
      </c>
    </row>
    <row r="36" spans="1:98" ht="16" customHeight="1">
      <c r="A36" s="107" t="s">
        <v>28</v>
      </c>
      <c r="B36" s="50" t="s">
        <v>92</v>
      </c>
      <c r="C36" s="88">
        <f t="shared" si="0"/>
        <v>2</v>
      </c>
      <c r="D36" s="140" t="s">
        <v>121</v>
      </c>
      <c r="E36" s="140" t="s">
        <v>121</v>
      </c>
      <c r="F36" s="47" t="s">
        <v>354</v>
      </c>
      <c r="G36" s="49">
        <f>'1.1'!H36</f>
        <v>44917</v>
      </c>
      <c r="H36" s="47">
        <v>2</v>
      </c>
      <c r="I36" s="209" t="s">
        <v>111</v>
      </c>
    </row>
    <row r="37" spans="1:98" ht="16" customHeight="1">
      <c r="A37" s="120" t="s">
        <v>29</v>
      </c>
      <c r="B37" s="85"/>
      <c r="C37" s="43"/>
      <c r="D37" s="226"/>
      <c r="E37" s="226"/>
      <c r="F37" s="226"/>
      <c r="G37" s="44"/>
      <c r="H37" s="42"/>
      <c r="I37" s="210"/>
    </row>
    <row r="38" spans="1:98" ht="16" customHeight="1">
      <c r="A38" s="107" t="s">
        <v>30</v>
      </c>
      <c r="B38" s="50" t="s">
        <v>92</v>
      </c>
      <c r="C38" s="88">
        <f t="shared" si="0"/>
        <v>2</v>
      </c>
      <c r="D38" s="140" t="s">
        <v>121</v>
      </c>
      <c r="E38" s="140" t="s">
        <v>121</v>
      </c>
      <c r="F38" s="47">
        <v>140</v>
      </c>
      <c r="G38" s="49">
        <f>'1.1'!H38</f>
        <v>44907</v>
      </c>
      <c r="H38" s="47" t="s">
        <v>142</v>
      </c>
      <c r="I38" s="209" t="s">
        <v>111</v>
      </c>
    </row>
    <row r="39" spans="1:98" s="31" customFormat="1" ht="16" customHeight="1">
      <c r="A39" s="107" t="s">
        <v>31</v>
      </c>
      <c r="B39" s="137" t="s">
        <v>92</v>
      </c>
      <c r="C39" s="138">
        <f t="shared" si="0"/>
        <v>2</v>
      </c>
      <c r="D39" s="227" t="s">
        <v>121</v>
      </c>
      <c r="E39" s="227" t="s">
        <v>121</v>
      </c>
      <c r="F39" s="47" t="s">
        <v>355</v>
      </c>
      <c r="G39" s="49">
        <f>'1.1'!H39</f>
        <v>44910</v>
      </c>
      <c r="H39" s="139">
        <v>3</v>
      </c>
      <c r="I39" s="209" t="s">
        <v>111</v>
      </c>
      <c r="J39" s="70"/>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row>
    <row r="40" spans="1:98" ht="16" customHeight="1">
      <c r="A40" s="107" t="s">
        <v>87</v>
      </c>
      <c r="B40" s="50" t="s">
        <v>92</v>
      </c>
      <c r="C40" s="88">
        <f t="shared" si="0"/>
        <v>2</v>
      </c>
      <c r="D40" s="140" t="s">
        <v>121</v>
      </c>
      <c r="E40" s="140" t="s">
        <v>121</v>
      </c>
      <c r="F40" s="47" t="s">
        <v>356</v>
      </c>
      <c r="G40" s="49">
        <f>'1.1'!H40</f>
        <v>44910</v>
      </c>
      <c r="H40" s="47" t="s">
        <v>163</v>
      </c>
      <c r="I40" s="209" t="s">
        <v>111</v>
      </c>
    </row>
    <row r="41" spans="1:98" ht="16" customHeight="1">
      <c r="A41" s="107" t="s">
        <v>32</v>
      </c>
      <c r="B41" s="50" t="s">
        <v>92</v>
      </c>
      <c r="C41" s="88">
        <f t="shared" si="0"/>
        <v>2</v>
      </c>
      <c r="D41" s="140" t="s">
        <v>121</v>
      </c>
      <c r="E41" s="140" t="s">
        <v>121</v>
      </c>
      <c r="F41" s="47" t="s">
        <v>358</v>
      </c>
      <c r="G41" s="49">
        <f>'1.1'!H41</f>
        <v>44918</v>
      </c>
      <c r="H41" s="47">
        <v>2</v>
      </c>
      <c r="I41" s="209" t="s">
        <v>111</v>
      </c>
    </row>
    <row r="42" spans="1:98" ht="16" customHeight="1">
      <c r="A42" s="107" t="s">
        <v>33</v>
      </c>
      <c r="B42" s="50" t="s">
        <v>92</v>
      </c>
      <c r="C42" s="88">
        <f t="shared" si="0"/>
        <v>2</v>
      </c>
      <c r="D42" s="140" t="s">
        <v>121</v>
      </c>
      <c r="E42" s="140" t="s">
        <v>121</v>
      </c>
      <c r="F42" s="47" t="s">
        <v>359</v>
      </c>
      <c r="G42" s="49">
        <f>'1.1'!H42</f>
        <v>44910</v>
      </c>
      <c r="H42" s="47" t="s">
        <v>142</v>
      </c>
      <c r="I42" s="209" t="s">
        <v>111</v>
      </c>
    </row>
    <row r="43" spans="1:98" ht="16" customHeight="1">
      <c r="A43" s="107" t="s">
        <v>34</v>
      </c>
      <c r="B43" s="50" t="s">
        <v>92</v>
      </c>
      <c r="C43" s="88">
        <f t="shared" si="0"/>
        <v>2</v>
      </c>
      <c r="D43" s="140" t="s">
        <v>121</v>
      </c>
      <c r="E43" s="140" t="s">
        <v>121</v>
      </c>
      <c r="F43" s="47" t="s">
        <v>360</v>
      </c>
      <c r="G43" s="49">
        <f>'1.1'!H43</f>
        <v>44900</v>
      </c>
      <c r="H43" s="47">
        <v>1</v>
      </c>
      <c r="I43" s="209" t="s">
        <v>111</v>
      </c>
    </row>
    <row r="44" spans="1:98" ht="16" customHeight="1">
      <c r="A44" s="107" t="s">
        <v>35</v>
      </c>
      <c r="B44" s="50" t="s">
        <v>92</v>
      </c>
      <c r="C44" s="88">
        <f t="shared" si="0"/>
        <v>2</v>
      </c>
      <c r="D44" s="140" t="s">
        <v>121</v>
      </c>
      <c r="E44" s="140" t="s">
        <v>121</v>
      </c>
      <c r="F44" s="47" t="s">
        <v>361</v>
      </c>
      <c r="G44" s="49">
        <f>'1.1'!H44</f>
        <v>44911</v>
      </c>
      <c r="H44" s="47">
        <v>1</v>
      </c>
      <c r="I44" s="209" t="s">
        <v>111</v>
      </c>
    </row>
    <row r="45" spans="1:98" ht="16" customHeight="1">
      <c r="A45" s="107" t="s">
        <v>222</v>
      </c>
      <c r="B45" s="50" t="s">
        <v>91</v>
      </c>
      <c r="C45" s="88">
        <f t="shared" si="0"/>
        <v>0</v>
      </c>
      <c r="D45" s="140" t="s">
        <v>122</v>
      </c>
      <c r="E45" s="140" t="s">
        <v>122</v>
      </c>
      <c r="F45" s="47" t="s">
        <v>357</v>
      </c>
      <c r="G45" s="49">
        <f>'1.1'!H45</f>
        <v>44915</v>
      </c>
      <c r="H45" s="47" t="s">
        <v>122</v>
      </c>
      <c r="I45" s="136" t="s">
        <v>665</v>
      </c>
    </row>
    <row r="46" spans="1:98" ht="16" customHeight="1">
      <c r="A46" s="120" t="s">
        <v>36</v>
      </c>
      <c r="B46" s="85"/>
      <c r="C46" s="42"/>
      <c r="D46" s="86"/>
      <c r="E46" s="86"/>
      <c r="F46" s="86"/>
      <c r="G46" s="44"/>
      <c r="H46" s="42"/>
      <c r="I46" s="210"/>
    </row>
    <row r="47" spans="1:98" ht="16" customHeight="1">
      <c r="A47" s="107" t="s">
        <v>37</v>
      </c>
      <c r="B47" s="50" t="s">
        <v>92</v>
      </c>
      <c r="C47" s="88">
        <f t="shared" si="0"/>
        <v>2</v>
      </c>
      <c r="D47" s="140" t="s">
        <v>121</v>
      </c>
      <c r="E47" s="140" t="s">
        <v>121</v>
      </c>
      <c r="F47" s="47">
        <v>95</v>
      </c>
      <c r="G47" s="49">
        <f>'1.1'!H47</f>
        <v>44907</v>
      </c>
      <c r="H47" s="47" t="s">
        <v>148</v>
      </c>
      <c r="I47" s="209" t="s">
        <v>111</v>
      </c>
    </row>
    <row r="48" spans="1:98" ht="16" customHeight="1">
      <c r="A48" s="107" t="s">
        <v>38</v>
      </c>
      <c r="B48" s="50" t="s">
        <v>92</v>
      </c>
      <c r="C48" s="88">
        <f t="shared" si="0"/>
        <v>2</v>
      </c>
      <c r="D48" s="140" t="s">
        <v>121</v>
      </c>
      <c r="E48" s="140" t="s">
        <v>121</v>
      </c>
      <c r="F48" s="47" t="s">
        <v>362</v>
      </c>
      <c r="G48" s="49">
        <f>'1.1'!H48</f>
        <v>44922</v>
      </c>
      <c r="H48" s="47">
        <v>4</v>
      </c>
      <c r="I48" s="209" t="s">
        <v>111</v>
      </c>
    </row>
    <row r="49" spans="1:10" ht="16" customHeight="1">
      <c r="A49" s="107" t="s">
        <v>39</v>
      </c>
      <c r="B49" s="50" t="s">
        <v>92</v>
      </c>
      <c r="C49" s="88">
        <f t="shared" si="0"/>
        <v>2</v>
      </c>
      <c r="D49" s="140" t="s">
        <v>121</v>
      </c>
      <c r="E49" s="140" t="s">
        <v>121</v>
      </c>
      <c r="F49" s="47" t="s">
        <v>363</v>
      </c>
      <c r="G49" s="49">
        <f>'1.1'!H49</f>
        <v>44924</v>
      </c>
      <c r="H49" s="47">
        <v>5</v>
      </c>
      <c r="I49" s="209" t="s">
        <v>111</v>
      </c>
    </row>
    <row r="50" spans="1:10" ht="16" customHeight="1">
      <c r="A50" s="107" t="s">
        <v>40</v>
      </c>
      <c r="B50" s="50" t="s">
        <v>92</v>
      </c>
      <c r="C50" s="88">
        <f t="shared" si="0"/>
        <v>2</v>
      </c>
      <c r="D50" s="140" t="s">
        <v>121</v>
      </c>
      <c r="E50" s="140" t="s">
        <v>121</v>
      </c>
      <c r="F50" s="47" t="s">
        <v>364</v>
      </c>
      <c r="G50" s="49">
        <f>'1.1'!H50</f>
        <v>44924</v>
      </c>
      <c r="H50" s="47">
        <v>2</v>
      </c>
      <c r="I50" s="209" t="s">
        <v>111</v>
      </c>
    </row>
    <row r="51" spans="1:10" ht="16" customHeight="1">
      <c r="A51" s="107" t="s">
        <v>547</v>
      </c>
      <c r="B51" s="50" t="s">
        <v>91</v>
      </c>
      <c r="C51" s="88">
        <f t="shared" si="0"/>
        <v>0</v>
      </c>
      <c r="D51" s="140" t="s">
        <v>122</v>
      </c>
      <c r="E51" s="140" t="s">
        <v>121</v>
      </c>
      <c r="F51" s="47" t="s">
        <v>365</v>
      </c>
      <c r="G51" s="49">
        <f>'1.1'!H51</f>
        <v>44921</v>
      </c>
      <c r="H51" s="47">
        <v>4</v>
      </c>
      <c r="I51" s="136" t="s">
        <v>246</v>
      </c>
      <c r="J51" s="70" t="s">
        <v>111</v>
      </c>
    </row>
    <row r="52" spans="1:10" ht="16" customHeight="1">
      <c r="A52" s="107" t="s">
        <v>41</v>
      </c>
      <c r="B52" s="50" t="s">
        <v>92</v>
      </c>
      <c r="C52" s="88">
        <f t="shared" si="0"/>
        <v>2</v>
      </c>
      <c r="D52" s="140" t="s">
        <v>121</v>
      </c>
      <c r="E52" s="140" t="s">
        <v>121</v>
      </c>
      <c r="F52" s="47" t="s">
        <v>366</v>
      </c>
      <c r="G52" s="49">
        <f>'1.1'!H52</f>
        <v>44922</v>
      </c>
      <c r="H52" s="47" t="s">
        <v>142</v>
      </c>
      <c r="I52" s="209" t="s">
        <v>111</v>
      </c>
    </row>
    <row r="53" spans="1:10" ht="16" customHeight="1">
      <c r="A53" s="107" t="s">
        <v>42</v>
      </c>
      <c r="B53" s="50" t="s">
        <v>92</v>
      </c>
      <c r="C53" s="88">
        <f t="shared" si="0"/>
        <v>2</v>
      </c>
      <c r="D53" s="140" t="s">
        <v>121</v>
      </c>
      <c r="E53" s="140" t="s">
        <v>121</v>
      </c>
      <c r="F53" s="47" t="s">
        <v>367</v>
      </c>
      <c r="G53" s="49">
        <f>'1.1'!H53</f>
        <v>44904</v>
      </c>
      <c r="H53" s="47">
        <v>5</v>
      </c>
      <c r="I53" s="209" t="s">
        <v>111</v>
      </c>
    </row>
    <row r="54" spans="1:10" ht="16" customHeight="1">
      <c r="A54" s="120" t="s">
        <v>43</v>
      </c>
      <c r="B54" s="85"/>
      <c r="C54" s="43"/>
      <c r="D54" s="226"/>
      <c r="E54" s="226"/>
      <c r="F54" s="226"/>
      <c r="G54" s="44"/>
      <c r="H54" s="42"/>
      <c r="I54" s="210"/>
    </row>
    <row r="55" spans="1:10" ht="16" customHeight="1">
      <c r="A55" s="107" t="s">
        <v>44</v>
      </c>
      <c r="B55" s="50" t="s">
        <v>92</v>
      </c>
      <c r="C55" s="88">
        <f t="shared" si="0"/>
        <v>2</v>
      </c>
      <c r="D55" s="140" t="s">
        <v>121</v>
      </c>
      <c r="E55" s="140" t="s">
        <v>121</v>
      </c>
      <c r="F55" s="47" t="s">
        <v>368</v>
      </c>
      <c r="G55" s="49">
        <f>'1.1'!H55</f>
        <v>44914</v>
      </c>
      <c r="H55" s="47">
        <v>6</v>
      </c>
      <c r="I55" s="209" t="s">
        <v>111</v>
      </c>
    </row>
    <row r="56" spans="1:10" ht="16" customHeight="1">
      <c r="A56" s="107" t="s">
        <v>548</v>
      </c>
      <c r="B56" s="50" t="s">
        <v>92</v>
      </c>
      <c r="C56" s="88">
        <f t="shared" si="0"/>
        <v>2</v>
      </c>
      <c r="D56" s="140" t="s">
        <v>121</v>
      </c>
      <c r="E56" s="140" t="s">
        <v>121</v>
      </c>
      <c r="F56" s="47" t="s">
        <v>369</v>
      </c>
      <c r="G56" s="49">
        <f>'1.1'!H56</f>
        <v>44900</v>
      </c>
      <c r="H56" s="47">
        <v>5</v>
      </c>
      <c r="I56" s="209" t="s">
        <v>111</v>
      </c>
    </row>
    <row r="57" spans="1:10" ht="16" customHeight="1">
      <c r="A57" s="107" t="s">
        <v>45</v>
      </c>
      <c r="B57" s="50" t="s">
        <v>91</v>
      </c>
      <c r="C57" s="88">
        <f t="shared" si="0"/>
        <v>0</v>
      </c>
      <c r="D57" s="140" t="s">
        <v>122</v>
      </c>
      <c r="E57" s="140" t="s">
        <v>121</v>
      </c>
      <c r="F57" s="47" t="s">
        <v>370</v>
      </c>
      <c r="G57" s="49">
        <f>'1.1'!H57</f>
        <v>44923</v>
      </c>
      <c r="H57" s="140">
        <v>2</v>
      </c>
      <c r="I57" s="136" t="s">
        <v>189</v>
      </c>
      <c r="J57" s="70" t="s">
        <v>111</v>
      </c>
    </row>
    <row r="58" spans="1:10" ht="16" customHeight="1">
      <c r="A58" s="107" t="s">
        <v>46</v>
      </c>
      <c r="B58" s="50" t="s">
        <v>92</v>
      </c>
      <c r="C58" s="88">
        <f t="shared" si="0"/>
        <v>2</v>
      </c>
      <c r="D58" s="140" t="s">
        <v>121</v>
      </c>
      <c r="E58" s="140" t="s">
        <v>121</v>
      </c>
      <c r="F58" s="47" t="s">
        <v>371</v>
      </c>
      <c r="G58" s="49">
        <f>'1.1'!H58</f>
        <v>44888</v>
      </c>
      <c r="H58" s="47">
        <v>3</v>
      </c>
      <c r="I58" s="209" t="s">
        <v>111</v>
      </c>
    </row>
    <row r="59" spans="1:10" ht="16" customHeight="1">
      <c r="A59" s="107" t="s">
        <v>47</v>
      </c>
      <c r="B59" s="50" t="s">
        <v>92</v>
      </c>
      <c r="C59" s="88">
        <f t="shared" si="0"/>
        <v>2</v>
      </c>
      <c r="D59" s="140" t="s">
        <v>121</v>
      </c>
      <c r="E59" s="140" t="s">
        <v>121</v>
      </c>
      <c r="F59" s="47" t="s">
        <v>372</v>
      </c>
      <c r="G59" s="49">
        <f>'1.1'!H59</f>
        <v>44921</v>
      </c>
      <c r="H59" s="47">
        <v>1</v>
      </c>
      <c r="I59" s="209" t="s">
        <v>111</v>
      </c>
    </row>
    <row r="60" spans="1:10" ht="16" customHeight="1">
      <c r="A60" s="107" t="s">
        <v>549</v>
      </c>
      <c r="B60" s="50" t="s">
        <v>92</v>
      </c>
      <c r="C60" s="88">
        <f t="shared" si="0"/>
        <v>2</v>
      </c>
      <c r="D60" s="140" t="s">
        <v>121</v>
      </c>
      <c r="E60" s="140" t="s">
        <v>121</v>
      </c>
      <c r="F60" s="47">
        <v>110</v>
      </c>
      <c r="G60" s="49">
        <f>'1.1'!H60</f>
        <v>44894</v>
      </c>
      <c r="H60" s="47">
        <v>4</v>
      </c>
      <c r="I60" s="209" t="s">
        <v>111</v>
      </c>
    </row>
    <row r="61" spans="1:10" ht="16" customHeight="1">
      <c r="A61" s="107" t="s">
        <v>48</v>
      </c>
      <c r="B61" s="50" t="s">
        <v>91</v>
      </c>
      <c r="C61" s="88">
        <f t="shared" si="0"/>
        <v>0</v>
      </c>
      <c r="D61" s="140" t="s">
        <v>122</v>
      </c>
      <c r="E61" s="140" t="s">
        <v>121</v>
      </c>
      <c r="F61" s="47" t="s">
        <v>373</v>
      </c>
      <c r="G61" s="49">
        <f>'1.1'!H61</f>
        <v>44895</v>
      </c>
      <c r="H61" s="140">
        <v>7</v>
      </c>
      <c r="I61" s="136" t="s">
        <v>189</v>
      </c>
      <c r="J61" s="70" t="s">
        <v>111</v>
      </c>
    </row>
    <row r="62" spans="1:10" ht="16" customHeight="1">
      <c r="A62" s="107" t="s">
        <v>49</v>
      </c>
      <c r="B62" s="50" t="s">
        <v>92</v>
      </c>
      <c r="C62" s="88">
        <f t="shared" si="0"/>
        <v>2</v>
      </c>
      <c r="D62" s="140" t="s">
        <v>121</v>
      </c>
      <c r="E62" s="140" t="s">
        <v>121</v>
      </c>
      <c r="F62" s="47" t="s">
        <v>374</v>
      </c>
      <c r="G62" s="49">
        <f>'1.1'!H62</f>
        <v>44914</v>
      </c>
      <c r="H62" s="47" t="s">
        <v>151</v>
      </c>
      <c r="I62" s="209" t="s">
        <v>111</v>
      </c>
    </row>
    <row r="63" spans="1:10" ht="16" customHeight="1">
      <c r="A63" s="107" t="s">
        <v>550</v>
      </c>
      <c r="B63" s="50" t="s">
        <v>92</v>
      </c>
      <c r="C63" s="88">
        <f t="shared" si="0"/>
        <v>2</v>
      </c>
      <c r="D63" s="140" t="s">
        <v>121</v>
      </c>
      <c r="E63" s="140" t="s">
        <v>121</v>
      </c>
      <c r="F63" s="47" t="s">
        <v>375</v>
      </c>
      <c r="G63" s="49">
        <f>'1.1'!H63</f>
        <v>44915</v>
      </c>
      <c r="H63" s="47">
        <v>1</v>
      </c>
      <c r="I63" s="209" t="s">
        <v>111</v>
      </c>
    </row>
    <row r="64" spans="1:10" ht="16" customHeight="1">
      <c r="A64" s="107" t="s">
        <v>50</v>
      </c>
      <c r="B64" s="50" t="s">
        <v>92</v>
      </c>
      <c r="C64" s="88">
        <f t="shared" si="0"/>
        <v>2</v>
      </c>
      <c r="D64" s="140" t="s">
        <v>121</v>
      </c>
      <c r="E64" s="140" t="s">
        <v>121</v>
      </c>
      <c r="F64" s="47" t="s">
        <v>376</v>
      </c>
      <c r="G64" s="49">
        <f>'1.1'!H64</f>
        <v>44910</v>
      </c>
      <c r="H64" s="47">
        <v>1</v>
      </c>
      <c r="I64" s="209" t="s">
        <v>111</v>
      </c>
    </row>
    <row r="65" spans="1:10" ht="16" customHeight="1">
      <c r="A65" s="107" t="s">
        <v>51</v>
      </c>
      <c r="B65" s="50" t="s">
        <v>92</v>
      </c>
      <c r="C65" s="88">
        <f t="shared" si="0"/>
        <v>2</v>
      </c>
      <c r="D65" s="140" t="s">
        <v>121</v>
      </c>
      <c r="E65" s="140" t="s">
        <v>121</v>
      </c>
      <c r="F65" s="47" t="s">
        <v>377</v>
      </c>
      <c r="G65" s="49">
        <f>'1.1'!H65</f>
        <v>44911</v>
      </c>
      <c r="H65" s="47" t="s">
        <v>143</v>
      </c>
      <c r="I65" s="209" t="s">
        <v>111</v>
      </c>
    </row>
    <row r="66" spans="1:10" ht="16" customHeight="1">
      <c r="A66" s="107" t="s">
        <v>52</v>
      </c>
      <c r="B66" s="50" t="s">
        <v>91</v>
      </c>
      <c r="C66" s="88">
        <f t="shared" si="0"/>
        <v>0</v>
      </c>
      <c r="D66" s="140" t="s">
        <v>122</v>
      </c>
      <c r="E66" s="140" t="s">
        <v>122</v>
      </c>
      <c r="F66" s="47" t="s">
        <v>378</v>
      </c>
      <c r="G66" s="49">
        <f>'1.1'!H66</f>
        <v>44895</v>
      </c>
      <c r="H66" s="47" t="s">
        <v>122</v>
      </c>
      <c r="I66" s="136" t="s">
        <v>665</v>
      </c>
    </row>
    <row r="67" spans="1:10" ht="16" customHeight="1">
      <c r="A67" s="107" t="s">
        <v>53</v>
      </c>
      <c r="B67" s="50" t="s">
        <v>92</v>
      </c>
      <c r="C67" s="88">
        <f t="shared" si="0"/>
        <v>2</v>
      </c>
      <c r="D67" s="140" t="s">
        <v>121</v>
      </c>
      <c r="E67" s="140" t="s">
        <v>121</v>
      </c>
      <c r="F67" s="47" t="s">
        <v>379</v>
      </c>
      <c r="G67" s="49">
        <f>'1.1'!H67</f>
        <v>44895</v>
      </c>
      <c r="H67" s="47">
        <v>1</v>
      </c>
      <c r="I67" s="209" t="s">
        <v>111</v>
      </c>
    </row>
    <row r="68" spans="1:10" ht="16" customHeight="1">
      <c r="A68" s="107" t="s">
        <v>54</v>
      </c>
      <c r="B68" s="50" t="s">
        <v>91</v>
      </c>
      <c r="C68" s="88">
        <f t="shared" si="0"/>
        <v>0</v>
      </c>
      <c r="D68" s="140" t="s">
        <v>122</v>
      </c>
      <c r="E68" s="140" t="s">
        <v>122</v>
      </c>
      <c r="F68" s="47" t="s">
        <v>380</v>
      </c>
      <c r="G68" s="49">
        <f>'1.1'!H68</f>
        <v>44903</v>
      </c>
      <c r="H68" s="47" t="s">
        <v>122</v>
      </c>
      <c r="I68" s="136" t="s">
        <v>665</v>
      </c>
    </row>
    <row r="69" spans="1:10" ht="16" customHeight="1">
      <c r="A69" s="120" t="s">
        <v>55</v>
      </c>
      <c r="B69" s="85"/>
      <c r="C69" s="43"/>
      <c r="D69" s="226"/>
      <c r="E69" s="226"/>
      <c r="F69" s="226"/>
      <c r="G69" s="44"/>
      <c r="H69" s="42"/>
      <c r="I69" s="210"/>
    </row>
    <row r="70" spans="1:10" ht="16" customHeight="1">
      <c r="A70" s="107" t="s">
        <v>56</v>
      </c>
      <c r="B70" s="50" t="s">
        <v>91</v>
      </c>
      <c r="C70" s="88">
        <f t="shared" si="0"/>
        <v>0</v>
      </c>
      <c r="D70" s="140" t="s">
        <v>651</v>
      </c>
      <c r="E70" s="140" t="s">
        <v>121</v>
      </c>
      <c r="F70" s="47">
        <v>101</v>
      </c>
      <c r="G70" s="49">
        <f>'1.1'!H70</f>
        <v>44923</v>
      </c>
      <c r="H70" s="47">
        <v>3</v>
      </c>
      <c r="I70" s="136" t="s">
        <v>652</v>
      </c>
      <c r="J70" s="70" t="s">
        <v>111</v>
      </c>
    </row>
    <row r="71" spans="1:10" ht="16" customHeight="1">
      <c r="A71" s="107" t="s">
        <v>57</v>
      </c>
      <c r="B71" s="50" t="s">
        <v>92</v>
      </c>
      <c r="C71" s="88">
        <f t="shared" si="0"/>
        <v>2</v>
      </c>
      <c r="D71" s="140" t="s">
        <v>121</v>
      </c>
      <c r="E71" s="140" t="s">
        <v>121</v>
      </c>
      <c r="F71" s="47" t="s">
        <v>381</v>
      </c>
      <c r="G71" s="49">
        <f>'1.1'!H71</f>
        <v>44902</v>
      </c>
      <c r="H71" s="47">
        <v>4</v>
      </c>
      <c r="I71" s="209" t="s">
        <v>111</v>
      </c>
    </row>
    <row r="72" spans="1:10" ht="16" customHeight="1">
      <c r="A72" s="107" t="s">
        <v>58</v>
      </c>
      <c r="B72" s="50" t="s">
        <v>92</v>
      </c>
      <c r="C72" s="88">
        <f t="shared" ref="C72:C77" si="1">IF(B72="Да, содержится",2,0)</f>
        <v>2</v>
      </c>
      <c r="D72" s="140" t="s">
        <v>121</v>
      </c>
      <c r="E72" s="140" t="s">
        <v>121</v>
      </c>
      <c r="F72" s="47">
        <v>77</v>
      </c>
      <c r="G72" s="49">
        <f>'1.1'!H72</f>
        <v>44896</v>
      </c>
      <c r="H72" s="47" t="s">
        <v>145</v>
      </c>
      <c r="I72" s="209" t="s">
        <v>111</v>
      </c>
    </row>
    <row r="73" spans="1:10" ht="16" customHeight="1">
      <c r="A73" s="107" t="s">
        <v>59</v>
      </c>
      <c r="B73" s="50" t="s">
        <v>92</v>
      </c>
      <c r="C73" s="88">
        <f t="shared" si="1"/>
        <v>2</v>
      </c>
      <c r="D73" s="140" t="s">
        <v>121</v>
      </c>
      <c r="E73" s="140" t="s">
        <v>121</v>
      </c>
      <c r="F73" s="47" t="s">
        <v>382</v>
      </c>
      <c r="G73" s="49">
        <f>'1.1'!H73</f>
        <v>44922</v>
      </c>
      <c r="H73" s="47" t="s">
        <v>143</v>
      </c>
      <c r="I73" s="209" t="s">
        <v>111</v>
      </c>
    </row>
    <row r="74" spans="1:10" ht="16" customHeight="1">
      <c r="A74" s="107" t="s">
        <v>551</v>
      </c>
      <c r="B74" s="50" t="s">
        <v>92</v>
      </c>
      <c r="C74" s="88">
        <f t="shared" si="1"/>
        <v>2</v>
      </c>
      <c r="D74" s="140" t="s">
        <v>121</v>
      </c>
      <c r="E74" s="140" t="s">
        <v>121</v>
      </c>
      <c r="F74" s="47" t="s">
        <v>383</v>
      </c>
      <c r="G74" s="49">
        <f>'1.1'!H74</f>
        <v>44889</v>
      </c>
      <c r="H74" s="47" t="s">
        <v>142</v>
      </c>
      <c r="I74" s="209" t="s">
        <v>111</v>
      </c>
    </row>
    <row r="75" spans="1:10" ht="16" customHeight="1">
      <c r="A75" s="107" t="s">
        <v>60</v>
      </c>
      <c r="B75" s="50" t="s">
        <v>92</v>
      </c>
      <c r="C75" s="88">
        <f t="shared" si="1"/>
        <v>2</v>
      </c>
      <c r="D75" s="140" t="s">
        <v>121</v>
      </c>
      <c r="E75" s="140" t="s">
        <v>121</v>
      </c>
      <c r="F75" s="47" t="s">
        <v>384</v>
      </c>
      <c r="G75" s="49">
        <f>'1.1'!H75</f>
        <v>44889</v>
      </c>
      <c r="H75" s="47" t="s">
        <v>142</v>
      </c>
      <c r="I75" s="209" t="s">
        <v>111</v>
      </c>
    </row>
    <row r="76" spans="1:10" ht="16" customHeight="1">
      <c r="A76" s="120" t="s">
        <v>61</v>
      </c>
      <c r="B76" s="85"/>
      <c r="C76" s="43"/>
      <c r="D76" s="226"/>
      <c r="E76" s="226"/>
      <c r="F76" s="226"/>
      <c r="G76" s="44"/>
      <c r="H76" s="42"/>
      <c r="I76" s="210"/>
    </row>
    <row r="77" spans="1:10" ht="16" customHeight="1">
      <c r="A77" s="107" t="s">
        <v>62</v>
      </c>
      <c r="B77" s="50" t="s">
        <v>92</v>
      </c>
      <c r="C77" s="88">
        <f t="shared" si="1"/>
        <v>2</v>
      </c>
      <c r="D77" s="140" t="s">
        <v>121</v>
      </c>
      <c r="E77" s="140" t="s">
        <v>121</v>
      </c>
      <c r="F77" s="47" t="s">
        <v>385</v>
      </c>
      <c r="G77" s="49">
        <f>'1.1'!H77</f>
        <v>44915</v>
      </c>
      <c r="H77" s="47">
        <v>1</v>
      </c>
      <c r="I77" s="209" t="s">
        <v>111</v>
      </c>
    </row>
    <row r="78" spans="1:10" ht="16" customHeight="1">
      <c r="A78" s="107" t="s">
        <v>64</v>
      </c>
      <c r="B78" s="50" t="s">
        <v>92</v>
      </c>
      <c r="C78" s="88">
        <f t="shared" ref="C78:C86" si="2">IF(B78="Да, содержится",2,0)</f>
        <v>2</v>
      </c>
      <c r="D78" s="140" t="s">
        <v>121</v>
      </c>
      <c r="E78" s="140" t="s">
        <v>121</v>
      </c>
      <c r="F78" s="47" t="s">
        <v>386</v>
      </c>
      <c r="G78" s="49">
        <f>'1.1'!H78</f>
        <v>44910</v>
      </c>
      <c r="H78" s="140" t="s">
        <v>144</v>
      </c>
      <c r="I78" s="209" t="s">
        <v>111</v>
      </c>
    </row>
    <row r="79" spans="1:10" ht="16" customHeight="1">
      <c r="A79" s="107" t="s">
        <v>65</v>
      </c>
      <c r="B79" s="50" t="s">
        <v>92</v>
      </c>
      <c r="C79" s="88">
        <f t="shared" si="2"/>
        <v>2</v>
      </c>
      <c r="D79" s="140" t="s">
        <v>121</v>
      </c>
      <c r="E79" s="140" t="s">
        <v>121</v>
      </c>
      <c r="F79" s="47" t="s">
        <v>387</v>
      </c>
      <c r="G79" s="49">
        <f>'1.1'!H79</f>
        <v>44914</v>
      </c>
      <c r="H79" s="47" t="s">
        <v>147</v>
      </c>
      <c r="I79" s="209" t="s">
        <v>111</v>
      </c>
    </row>
    <row r="80" spans="1:10" ht="16" customHeight="1">
      <c r="A80" s="107" t="s">
        <v>66</v>
      </c>
      <c r="B80" s="50" t="s">
        <v>91</v>
      </c>
      <c r="C80" s="88">
        <f t="shared" si="2"/>
        <v>0</v>
      </c>
      <c r="D80" s="140" t="s">
        <v>122</v>
      </c>
      <c r="E80" s="140" t="s">
        <v>122</v>
      </c>
      <c r="F80" s="47" t="s">
        <v>388</v>
      </c>
      <c r="G80" s="49">
        <f>'1.1'!H80</f>
        <v>44895</v>
      </c>
      <c r="H80" s="140" t="s">
        <v>122</v>
      </c>
      <c r="I80" s="136" t="s">
        <v>665</v>
      </c>
    </row>
    <row r="81" spans="1:10" ht="16" customHeight="1">
      <c r="A81" s="107" t="s">
        <v>68</v>
      </c>
      <c r="B81" s="50" t="s">
        <v>92</v>
      </c>
      <c r="C81" s="88">
        <f t="shared" si="2"/>
        <v>2</v>
      </c>
      <c r="D81" s="140" t="s">
        <v>121</v>
      </c>
      <c r="E81" s="140" t="s">
        <v>121</v>
      </c>
      <c r="F81" s="54" t="s">
        <v>389</v>
      </c>
      <c r="G81" s="49">
        <f>'1.1'!H81</f>
        <v>44915</v>
      </c>
      <c r="H81" s="47">
        <v>2</v>
      </c>
      <c r="I81" s="209" t="s">
        <v>111</v>
      </c>
    </row>
    <row r="82" spans="1:10" ht="16" customHeight="1">
      <c r="A82" s="107" t="s">
        <v>69</v>
      </c>
      <c r="B82" s="50" t="s">
        <v>92</v>
      </c>
      <c r="C82" s="88">
        <f t="shared" si="2"/>
        <v>2</v>
      </c>
      <c r="D82" s="140" t="s">
        <v>121</v>
      </c>
      <c r="E82" s="140" t="s">
        <v>121</v>
      </c>
      <c r="F82" s="47" t="s">
        <v>390</v>
      </c>
      <c r="G82" s="49">
        <f>'1.1'!H82</f>
        <v>44907</v>
      </c>
      <c r="H82" s="47" t="s">
        <v>144</v>
      </c>
      <c r="I82" s="209" t="s">
        <v>111</v>
      </c>
    </row>
    <row r="83" spans="1:10" ht="16" customHeight="1">
      <c r="A83" s="107" t="s">
        <v>552</v>
      </c>
      <c r="B83" s="50" t="s">
        <v>92</v>
      </c>
      <c r="C83" s="88">
        <f t="shared" si="2"/>
        <v>2</v>
      </c>
      <c r="D83" s="140" t="s">
        <v>121</v>
      </c>
      <c r="E83" s="140" t="s">
        <v>121</v>
      </c>
      <c r="F83" s="47" t="s">
        <v>391</v>
      </c>
      <c r="G83" s="49">
        <f>'1.1'!H83</f>
        <v>44910</v>
      </c>
      <c r="H83" s="140">
        <v>5</v>
      </c>
      <c r="I83" s="209" t="s">
        <v>111</v>
      </c>
    </row>
    <row r="84" spans="1:10" ht="16" customHeight="1">
      <c r="A84" s="107" t="s">
        <v>70</v>
      </c>
      <c r="B84" s="50" t="s">
        <v>91</v>
      </c>
      <c r="C84" s="88">
        <f t="shared" si="2"/>
        <v>0</v>
      </c>
      <c r="D84" s="140" t="s">
        <v>122</v>
      </c>
      <c r="E84" s="140" t="s">
        <v>122</v>
      </c>
      <c r="F84" s="47" t="s">
        <v>392</v>
      </c>
      <c r="G84" s="49">
        <f>'1.1'!H84</f>
        <v>44918</v>
      </c>
      <c r="H84" s="140" t="s">
        <v>122</v>
      </c>
      <c r="I84" s="136" t="s">
        <v>665</v>
      </c>
    </row>
    <row r="85" spans="1:10" ht="16" customHeight="1">
      <c r="A85" s="107" t="s">
        <v>71</v>
      </c>
      <c r="B85" s="50" t="s">
        <v>92</v>
      </c>
      <c r="C85" s="88">
        <f t="shared" si="2"/>
        <v>2</v>
      </c>
      <c r="D85" s="140" t="s">
        <v>121</v>
      </c>
      <c r="E85" s="140" t="s">
        <v>121</v>
      </c>
      <c r="F85" s="47" t="s">
        <v>393</v>
      </c>
      <c r="G85" s="49">
        <f>'1.1'!H85</f>
        <v>44917</v>
      </c>
      <c r="H85" s="47" t="s">
        <v>147</v>
      </c>
      <c r="I85" s="209" t="s">
        <v>111</v>
      </c>
    </row>
    <row r="86" spans="1:10" ht="16" customHeight="1">
      <c r="A86" s="107" t="s">
        <v>72</v>
      </c>
      <c r="B86" s="50" t="s">
        <v>91</v>
      </c>
      <c r="C86" s="88">
        <f t="shared" si="2"/>
        <v>0</v>
      </c>
      <c r="D86" s="140" t="s">
        <v>122</v>
      </c>
      <c r="E86" s="140" t="s">
        <v>121</v>
      </c>
      <c r="F86" s="47" t="s">
        <v>394</v>
      </c>
      <c r="G86" s="49">
        <f>'1.1'!H86</f>
        <v>44923</v>
      </c>
      <c r="H86" s="140">
        <v>4</v>
      </c>
      <c r="I86" s="136" t="s">
        <v>189</v>
      </c>
      <c r="J86" s="70" t="s">
        <v>111</v>
      </c>
    </row>
    <row r="87" spans="1:10" ht="16" customHeight="1">
      <c r="A87" s="120" t="s">
        <v>73</v>
      </c>
      <c r="B87" s="85"/>
      <c r="C87" s="43"/>
      <c r="D87" s="226"/>
      <c r="E87" s="226"/>
      <c r="F87" s="226"/>
      <c r="G87" s="44"/>
      <c r="H87" s="42"/>
      <c r="I87" s="210"/>
    </row>
    <row r="88" spans="1:10" ht="16" customHeight="1">
      <c r="A88" s="107" t="s">
        <v>63</v>
      </c>
      <c r="B88" s="50" t="s">
        <v>92</v>
      </c>
      <c r="C88" s="88">
        <f t="shared" ref="C88:C98" si="3">IF(B88="Да, содержится",2,0)</f>
        <v>2</v>
      </c>
      <c r="D88" s="140" t="s">
        <v>121</v>
      </c>
      <c r="E88" s="140" t="s">
        <v>121</v>
      </c>
      <c r="F88" s="47" t="s">
        <v>395</v>
      </c>
      <c r="G88" s="49">
        <f>'1.1'!H88</f>
        <v>44916</v>
      </c>
      <c r="H88" s="54" t="s">
        <v>396</v>
      </c>
      <c r="I88" s="209" t="s">
        <v>111</v>
      </c>
    </row>
    <row r="89" spans="1:10" ht="16" customHeight="1">
      <c r="A89" s="107" t="s">
        <v>74</v>
      </c>
      <c r="B89" s="50" t="s">
        <v>92</v>
      </c>
      <c r="C89" s="88">
        <f t="shared" si="3"/>
        <v>2</v>
      </c>
      <c r="D89" s="140" t="s">
        <v>121</v>
      </c>
      <c r="E89" s="140" t="s">
        <v>121</v>
      </c>
      <c r="F89" s="47" t="s">
        <v>397</v>
      </c>
      <c r="G89" s="49">
        <f>'1.1'!H89</f>
        <v>44904</v>
      </c>
      <c r="H89" s="47">
        <v>1</v>
      </c>
      <c r="I89" s="209" t="s">
        <v>111</v>
      </c>
    </row>
    <row r="90" spans="1:10" ht="16" customHeight="1">
      <c r="A90" s="107" t="s">
        <v>67</v>
      </c>
      <c r="B90" s="50" t="s">
        <v>91</v>
      </c>
      <c r="C90" s="88">
        <f t="shared" si="3"/>
        <v>0</v>
      </c>
      <c r="D90" s="140" t="s">
        <v>122</v>
      </c>
      <c r="E90" s="140" t="s">
        <v>122</v>
      </c>
      <c r="F90" s="47" t="s">
        <v>398</v>
      </c>
      <c r="G90" s="49">
        <f>'1.1'!H90</f>
        <v>44917</v>
      </c>
      <c r="H90" s="140" t="s">
        <v>122</v>
      </c>
      <c r="I90" s="136" t="s">
        <v>665</v>
      </c>
    </row>
    <row r="91" spans="1:10" ht="16" customHeight="1">
      <c r="A91" s="107" t="s">
        <v>75</v>
      </c>
      <c r="B91" s="50" t="s">
        <v>92</v>
      </c>
      <c r="C91" s="88">
        <f t="shared" si="3"/>
        <v>2</v>
      </c>
      <c r="D91" s="140" t="s">
        <v>121</v>
      </c>
      <c r="E91" s="140" t="s">
        <v>121</v>
      </c>
      <c r="F91" s="47">
        <v>155</v>
      </c>
      <c r="G91" s="49">
        <f>'1.1'!H91</f>
        <v>44894</v>
      </c>
      <c r="H91" s="47" t="s">
        <v>399</v>
      </c>
      <c r="I91" s="209" t="s">
        <v>111</v>
      </c>
    </row>
    <row r="92" spans="1:10" ht="16" customHeight="1">
      <c r="A92" s="107" t="s">
        <v>553</v>
      </c>
      <c r="B92" s="50" t="s">
        <v>92</v>
      </c>
      <c r="C92" s="88">
        <f t="shared" si="3"/>
        <v>2</v>
      </c>
      <c r="D92" s="140" t="s">
        <v>121</v>
      </c>
      <c r="E92" s="140" t="s">
        <v>121</v>
      </c>
      <c r="F92" s="47" t="s">
        <v>401</v>
      </c>
      <c r="G92" s="49">
        <f>'1.1'!H92</f>
        <v>44915</v>
      </c>
      <c r="H92" s="47">
        <v>4</v>
      </c>
      <c r="I92" s="209" t="s">
        <v>111</v>
      </c>
    </row>
    <row r="93" spans="1:10" ht="16" customHeight="1">
      <c r="A93" s="107" t="s">
        <v>76</v>
      </c>
      <c r="B93" s="50" t="s">
        <v>92</v>
      </c>
      <c r="C93" s="88">
        <f t="shared" si="3"/>
        <v>2</v>
      </c>
      <c r="D93" s="140" t="s">
        <v>121</v>
      </c>
      <c r="E93" s="140" t="s">
        <v>121</v>
      </c>
      <c r="F93" s="47">
        <v>334</v>
      </c>
      <c r="G93" s="49">
        <f>'1.1'!H93</f>
        <v>44886</v>
      </c>
      <c r="H93" s="47" t="s">
        <v>143</v>
      </c>
      <c r="I93" s="209" t="s">
        <v>111</v>
      </c>
    </row>
    <row r="94" spans="1:10" ht="16" customHeight="1">
      <c r="A94" s="107" t="s">
        <v>77</v>
      </c>
      <c r="B94" s="50" t="s">
        <v>92</v>
      </c>
      <c r="C94" s="88">
        <f t="shared" si="3"/>
        <v>2</v>
      </c>
      <c r="D94" s="140" t="s">
        <v>121</v>
      </c>
      <c r="E94" s="140" t="s">
        <v>121</v>
      </c>
      <c r="F94" s="47" t="s">
        <v>402</v>
      </c>
      <c r="G94" s="49">
        <f>'1.1'!H94</f>
        <v>44908</v>
      </c>
      <c r="H94" s="47" t="s">
        <v>142</v>
      </c>
      <c r="I94" s="209" t="s">
        <v>111</v>
      </c>
    </row>
    <row r="95" spans="1:10" ht="16" customHeight="1">
      <c r="A95" s="107" t="s">
        <v>78</v>
      </c>
      <c r="B95" s="50" t="s">
        <v>92</v>
      </c>
      <c r="C95" s="88">
        <f t="shared" si="3"/>
        <v>2</v>
      </c>
      <c r="D95" s="140" t="s">
        <v>121</v>
      </c>
      <c r="E95" s="140" t="s">
        <v>121</v>
      </c>
      <c r="F95" s="47" t="s">
        <v>403</v>
      </c>
      <c r="G95" s="49">
        <f>'1.1'!H95</f>
        <v>44897</v>
      </c>
      <c r="H95" s="47">
        <v>1</v>
      </c>
      <c r="I95" s="209" t="s">
        <v>111</v>
      </c>
    </row>
    <row r="96" spans="1:10" ht="16" customHeight="1">
      <c r="A96" s="107" t="s">
        <v>79</v>
      </c>
      <c r="B96" s="50" t="s">
        <v>92</v>
      </c>
      <c r="C96" s="88">
        <f t="shared" si="3"/>
        <v>2</v>
      </c>
      <c r="D96" s="140" t="s">
        <v>121</v>
      </c>
      <c r="E96" s="140" t="s">
        <v>121</v>
      </c>
      <c r="F96" s="47" t="s">
        <v>404</v>
      </c>
      <c r="G96" s="49">
        <f>'1.1'!H96</f>
        <v>44921</v>
      </c>
      <c r="H96" s="47">
        <v>1</v>
      </c>
      <c r="I96" s="209" t="s">
        <v>111</v>
      </c>
    </row>
    <row r="97" spans="1:10" ht="16" customHeight="1">
      <c r="A97" s="107" t="s">
        <v>80</v>
      </c>
      <c r="B97" s="50" t="s">
        <v>92</v>
      </c>
      <c r="C97" s="88">
        <f t="shared" si="3"/>
        <v>2</v>
      </c>
      <c r="D97" s="140" t="s">
        <v>121</v>
      </c>
      <c r="E97" s="140" t="s">
        <v>121</v>
      </c>
      <c r="F97" s="47" t="s">
        <v>405</v>
      </c>
      <c r="G97" s="49">
        <f>'1.1'!H97</f>
        <v>44901</v>
      </c>
      <c r="H97" s="47" t="s">
        <v>144</v>
      </c>
      <c r="I97" s="209" t="s">
        <v>111</v>
      </c>
    </row>
    <row r="98" spans="1:10" ht="16" customHeight="1">
      <c r="A98" s="107" t="s">
        <v>81</v>
      </c>
      <c r="B98" s="50" t="s">
        <v>92</v>
      </c>
      <c r="C98" s="88">
        <f t="shared" si="3"/>
        <v>2</v>
      </c>
      <c r="D98" s="140" t="s">
        <v>121</v>
      </c>
      <c r="E98" s="140" t="s">
        <v>121</v>
      </c>
      <c r="F98" s="47" t="s">
        <v>330</v>
      </c>
      <c r="G98" s="49">
        <f>'1.1'!H98</f>
        <v>44531</v>
      </c>
      <c r="H98" s="47" t="s">
        <v>143</v>
      </c>
      <c r="I98" s="209" t="s">
        <v>111</v>
      </c>
    </row>
    <row r="99" spans="1:10">
      <c r="G99" s="75"/>
      <c r="I99"/>
    </row>
    <row r="100" spans="1:10">
      <c r="G100" s="75"/>
      <c r="I100"/>
    </row>
    <row r="101" spans="1:10">
      <c r="G101" s="75"/>
      <c r="I101"/>
    </row>
    <row r="102" spans="1:10">
      <c r="G102" s="75"/>
      <c r="I102"/>
    </row>
    <row r="103" spans="1:10">
      <c r="G103" s="75"/>
      <c r="I103"/>
    </row>
    <row r="104" spans="1:10">
      <c r="A104" s="4"/>
      <c r="B104" s="77"/>
      <c r="C104" s="6"/>
      <c r="D104" s="64"/>
      <c r="E104" s="64"/>
      <c r="G104" s="75"/>
      <c r="H104" s="75"/>
      <c r="I104"/>
    </row>
    <row r="105" spans="1:10">
      <c r="G105" s="75"/>
      <c r="I105"/>
    </row>
    <row r="106" spans="1:10">
      <c r="G106" s="75"/>
      <c r="I106"/>
    </row>
    <row r="107" spans="1:10">
      <c r="G107" s="75"/>
      <c r="I107"/>
    </row>
    <row r="108" spans="1:10" s="2" customFormat="1" ht="11">
      <c r="A108" s="4"/>
      <c r="B108" s="77"/>
      <c r="C108" s="6"/>
      <c r="D108" s="64"/>
      <c r="E108" s="64"/>
      <c r="F108" s="73"/>
      <c r="G108" s="75"/>
      <c r="H108" s="75"/>
      <c r="J108" s="141"/>
    </row>
    <row r="109" spans="1:10">
      <c r="G109" s="75"/>
      <c r="I109"/>
    </row>
    <row r="110" spans="1:10">
      <c r="G110" s="75"/>
      <c r="I110"/>
    </row>
    <row r="111" spans="1:10" s="2" customFormat="1" ht="11">
      <c r="A111" s="4"/>
      <c r="B111" s="77"/>
      <c r="C111" s="6"/>
      <c r="D111" s="64"/>
      <c r="E111" s="64"/>
      <c r="F111" s="73"/>
      <c r="G111" s="75"/>
      <c r="H111" s="75"/>
      <c r="J111" s="141"/>
    </row>
    <row r="112" spans="1:10">
      <c r="G112" s="75"/>
      <c r="I112"/>
    </row>
    <row r="113" spans="1:10">
      <c r="G113" s="75"/>
      <c r="I113"/>
    </row>
    <row r="114" spans="1:10">
      <c r="G114" s="75"/>
      <c r="I114"/>
    </row>
    <row r="115" spans="1:10" s="2" customFormat="1" ht="11">
      <c r="A115" s="4"/>
      <c r="B115" s="77"/>
      <c r="C115" s="6"/>
      <c r="D115" s="64"/>
      <c r="E115" s="64"/>
      <c r="F115" s="73"/>
      <c r="G115" s="75"/>
      <c r="H115" s="75"/>
      <c r="J115" s="141"/>
    </row>
    <row r="116" spans="1:10">
      <c r="G116" s="75"/>
      <c r="I116"/>
    </row>
    <row r="117" spans="1:10">
      <c r="G117" s="75"/>
      <c r="I117"/>
    </row>
    <row r="118" spans="1:10" s="2" customFormat="1" ht="11">
      <c r="A118" s="4"/>
      <c r="B118" s="77"/>
      <c r="C118" s="6"/>
      <c r="D118" s="64"/>
      <c r="E118" s="64"/>
      <c r="F118" s="73"/>
      <c r="G118" s="75"/>
      <c r="H118" s="75"/>
      <c r="J118" s="141"/>
    </row>
    <row r="119" spans="1:10">
      <c r="G119" s="75"/>
      <c r="I119"/>
    </row>
    <row r="120" spans="1:10">
      <c r="G120" s="75"/>
      <c r="I120"/>
    </row>
    <row r="121" spans="1:10">
      <c r="G121" s="75"/>
      <c r="I121"/>
    </row>
    <row r="122" spans="1:10" s="2" customFormat="1" ht="11">
      <c r="A122" s="4"/>
      <c r="B122" s="77"/>
      <c r="C122" s="6"/>
      <c r="D122" s="64"/>
      <c r="E122" s="64"/>
      <c r="F122" s="73"/>
      <c r="G122" s="75"/>
      <c r="H122" s="75"/>
      <c r="J122" s="141"/>
    </row>
    <row r="123" spans="1:10">
      <c r="G123" s="75"/>
      <c r="I123"/>
    </row>
    <row r="124" spans="1:10">
      <c r="G124" s="75"/>
      <c r="I124"/>
    </row>
    <row r="125" spans="1:10">
      <c r="G125" s="75"/>
      <c r="I125"/>
    </row>
    <row r="126" spans="1:10">
      <c r="G126" s="75"/>
      <c r="I126"/>
    </row>
    <row r="127" spans="1:10">
      <c r="G127" s="75"/>
      <c r="I127"/>
    </row>
    <row r="128" spans="1:10">
      <c r="G128" s="75"/>
      <c r="I128"/>
    </row>
    <row r="129" spans="7:9">
      <c r="G129" s="75"/>
      <c r="I129"/>
    </row>
    <row r="130" spans="7:9">
      <c r="G130" s="75"/>
      <c r="I130"/>
    </row>
    <row r="131" spans="7:9">
      <c r="G131" s="75"/>
      <c r="I131"/>
    </row>
    <row r="132" spans="7:9">
      <c r="G132" s="75"/>
      <c r="I132"/>
    </row>
    <row r="133" spans="7:9">
      <c r="G133" s="75"/>
      <c r="I133"/>
    </row>
    <row r="134" spans="7:9">
      <c r="G134" s="75"/>
      <c r="I134"/>
    </row>
    <row r="135" spans="7:9">
      <c r="G135" s="75"/>
      <c r="I135"/>
    </row>
    <row r="136" spans="7:9">
      <c r="G136" s="75"/>
      <c r="I136"/>
    </row>
    <row r="137" spans="7:9">
      <c r="G137" s="75"/>
      <c r="I137"/>
    </row>
    <row r="138" spans="7:9">
      <c r="G138" s="75"/>
      <c r="I138"/>
    </row>
    <row r="139" spans="7:9">
      <c r="G139" s="75"/>
      <c r="I139"/>
    </row>
    <row r="140" spans="7:9">
      <c r="G140" s="75"/>
      <c r="I140"/>
    </row>
    <row r="141" spans="7:9">
      <c r="G141" s="75"/>
      <c r="I141"/>
    </row>
    <row r="142" spans="7:9">
      <c r="G142" s="75"/>
      <c r="I142"/>
    </row>
    <row r="143" spans="7:9">
      <c r="G143" s="75"/>
      <c r="I143"/>
    </row>
    <row r="144" spans="7:9">
      <c r="G144" s="75"/>
      <c r="I144"/>
    </row>
    <row r="145" spans="7:9">
      <c r="G145" s="75"/>
      <c r="I145"/>
    </row>
    <row r="146" spans="7:9">
      <c r="G146" s="75"/>
      <c r="I146"/>
    </row>
    <row r="147" spans="7:9">
      <c r="G147" s="75"/>
      <c r="I147"/>
    </row>
    <row r="148" spans="7:9">
      <c r="G148" s="75"/>
      <c r="I148"/>
    </row>
    <row r="149" spans="7:9">
      <c r="G149" s="75"/>
      <c r="I149"/>
    </row>
    <row r="150" spans="7:9">
      <c r="G150" s="75"/>
      <c r="I150"/>
    </row>
    <row r="151" spans="7:9">
      <c r="G151" s="75"/>
      <c r="I151"/>
    </row>
    <row r="152" spans="7:9">
      <c r="G152" s="75"/>
      <c r="I152"/>
    </row>
    <row r="153" spans="7:9">
      <c r="G153" s="75"/>
      <c r="I153"/>
    </row>
    <row r="154" spans="7:9">
      <c r="G154" s="75"/>
      <c r="I154"/>
    </row>
    <row r="155" spans="7:9">
      <c r="G155" s="75"/>
      <c r="I155"/>
    </row>
    <row r="156" spans="7:9">
      <c r="G156" s="75"/>
      <c r="I156"/>
    </row>
    <row r="157" spans="7:9">
      <c r="G157" s="75"/>
      <c r="I157"/>
    </row>
    <row r="158" spans="7:9">
      <c r="G158" s="75"/>
      <c r="I158"/>
    </row>
    <row r="159" spans="7:9">
      <c r="G159" s="75"/>
      <c r="I159"/>
    </row>
    <row r="160" spans="7:9">
      <c r="G160" s="75"/>
      <c r="I160"/>
    </row>
    <row r="161" spans="7:9">
      <c r="G161" s="75"/>
      <c r="I161"/>
    </row>
    <row r="162" spans="7:9">
      <c r="G162" s="75"/>
      <c r="I162"/>
    </row>
    <row r="163" spans="7:9">
      <c r="G163" s="75"/>
      <c r="I163"/>
    </row>
    <row r="164" spans="7:9">
      <c r="G164" s="75"/>
      <c r="I164"/>
    </row>
    <row r="165" spans="7:9">
      <c r="G165" s="75"/>
      <c r="I165"/>
    </row>
    <row r="166" spans="7:9">
      <c r="G166" s="75"/>
      <c r="I166"/>
    </row>
    <row r="167" spans="7:9">
      <c r="G167" s="75"/>
      <c r="I167"/>
    </row>
    <row r="168" spans="7:9">
      <c r="G168" s="75"/>
      <c r="I168"/>
    </row>
    <row r="169" spans="7:9">
      <c r="G169" s="75"/>
      <c r="I169"/>
    </row>
    <row r="170" spans="7:9">
      <c r="G170" s="75"/>
      <c r="I170"/>
    </row>
    <row r="171" spans="7:9">
      <c r="G171" s="75"/>
      <c r="I171"/>
    </row>
    <row r="172" spans="7:9">
      <c r="G172" s="75"/>
      <c r="I172"/>
    </row>
    <row r="173" spans="7:9">
      <c r="G173" s="75"/>
      <c r="I173"/>
    </row>
    <row r="174" spans="7:9">
      <c r="G174" s="75"/>
      <c r="I174"/>
    </row>
    <row r="175" spans="7:9">
      <c r="G175" s="75"/>
      <c r="I175"/>
    </row>
    <row r="176" spans="7:9">
      <c r="G176" s="75"/>
      <c r="I176"/>
    </row>
    <row r="177" spans="7:9">
      <c r="G177" s="75"/>
      <c r="I177"/>
    </row>
    <row r="178" spans="7:9">
      <c r="G178" s="75"/>
      <c r="I178"/>
    </row>
    <row r="179" spans="7:9">
      <c r="G179" s="75"/>
      <c r="I179"/>
    </row>
    <row r="180" spans="7:9">
      <c r="G180" s="75"/>
      <c r="I180"/>
    </row>
    <row r="181" spans="7:9">
      <c r="G181" s="75"/>
      <c r="I181"/>
    </row>
    <row r="182" spans="7:9">
      <c r="G182" s="75"/>
      <c r="I182"/>
    </row>
    <row r="183" spans="7:9">
      <c r="G183" s="75"/>
      <c r="I183"/>
    </row>
    <row r="184" spans="7:9">
      <c r="G184" s="75"/>
      <c r="I184"/>
    </row>
    <row r="185" spans="7:9">
      <c r="G185" s="75"/>
      <c r="I185"/>
    </row>
    <row r="186" spans="7:9">
      <c r="G186" s="75"/>
      <c r="I186"/>
    </row>
    <row r="187" spans="7:9">
      <c r="G187" s="75"/>
      <c r="I187"/>
    </row>
    <row r="188" spans="7:9">
      <c r="G188" s="75"/>
      <c r="I188"/>
    </row>
    <row r="189" spans="7:9">
      <c r="G189" s="75"/>
      <c r="I189"/>
    </row>
    <row r="190" spans="7:9">
      <c r="G190" s="75"/>
      <c r="I190"/>
    </row>
    <row r="191" spans="7:9">
      <c r="G191" s="75"/>
      <c r="I191"/>
    </row>
    <row r="192" spans="7:9">
      <c r="G192" s="75"/>
      <c r="I192"/>
    </row>
    <row r="193" spans="7:9">
      <c r="G193" s="75"/>
      <c r="I193"/>
    </row>
    <row r="194" spans="7:9">
      <c r="G194" s="75"/>
      <c r="I194"/>
    </row>
    <row r="195" spans="7:9">
      <c r="G195" s="75"/>
      <c r="I195"/>
    </row>
    <row r="196" spans="7:9">
      <c r="G196" s="75"/>
      <c r="I196"/>
    </row>
    <row r="197" spans="7:9">
      <c r="G197" s="75"/>
      <c r="I197"/>
    </row>
    <row r="198" spans="7:9">
      <c r="G198" s="75"/>
      <c r="I198"/>
    </row>
    <row r="199" spans="7:9">
      <c r="G199" s="75"/>
      <c r="I199"/>
    </row>
    <row r="200" spans="7:9">
      <c r="G200" s="75"/>
      <c r="I200"/>
    </row>
    <row r="201" spans="7:9">
      <c r="G201" s="75"/>
      <c r="I201"/>
    </row>
    <row r="202" spans="7:9">
      <c r="G202" s="75"/>
      <c r="I202"/>
    </row>
    <row r="203" spans="7:9">
      <c r="G203" s="75"/>
      <c r="I203"/>
    </row>
    <row r="204" spans="7:9">
      <c r="G204" s="75"/>
      <c r="I204"/>
    </row>
    <row r="205" spans="7:9">
      <c r="G205" s="75"/>
      <c r="I205"/>
    </row>
    <row r="206" spans="7:9">
      <c r="G206" s="75"/>
      <c r="I206"/>
    </row>
    <row r="207" spans="7:9">
      <c r="G207" s="75"/>
      <c r="I207"/>
    </row>
    <row r="208" spans="7:9">
      <c r="G208" s="75"/>
      <c r="I208"/>
    </row>
    <row r="209" spans="7:9">
      <c r="G209" s="75"/>
      <c r="I209"/>
    </row>
    <row r="210" spans="7:9">
      <c r="G210" s="75"/>
      <c r="I210"/>
    </row>
    <row r="211" spans="7:9">
      <c r="G211" s="75"/>
      <c r="I211"/>
    </row>
    <row r="212" spans="7:9">
      <c r="G212" s="75"/>
      <c r="I212"/>
    </row>
    <row r="213" spans="7:9">
      <c r="G213" s="75"/>
      <c r="I213"/>
    </row>
    <row r="214" spans="7:9">
      <c r="G214" s="75"/>
      <c r="I214"/>
    </row>
    <row r="215" spans="7:9">
      <c r="G215" s="75"/>
      <c r="I215"/>
    </row>
    <row r="216" spans="7:9">
      <c r="G216" s="75"/>
      <c r="I216"/>
    </row>
    <row r="217" spans="7:9">
      <c r="G217" s="75"/>
      <c r="I217"/>
    </row>
    <row r="218" spans="7:9">
      <c r="G218" s="75"/>
      <c r="I218"/>
    </row>
    <row r="219" spans="7:9">
      <c r="G219" s="75"/>
      <c r="I219"/>
    </row>
    <row r="220" spans="7:9">
      <c r="G220" s="75"/>
      <c r="I220"/>
    </row>
    <row r="221" spans="7:9">
      <c r="G221" s="75"/>
      <c r="I221"/>
    </row>
    <row r="222" spans="7:9">
      <c r="G222" s="75"/>
      <c r="I222"/>
    </row>
    <row r="223" spans="7:9">
      <c r="G223" s="75"/>
      <c r="I223"/>
    </row>
    <row r="224" spans="7:9">
      <c r="G224" s="75"/>
      <c r="I224"/>
    </row>
    <row r="225" spans="7:9">
      <c r="G225" s="75"/>
      <c r="I225"/>
    </row>
    <row r="226" spans="7:9">
      <c r="G226" s="75"/>
      <c r="I226"/>
    </row>
    <row r="227" spans="7:9">
      <c r="G227" s="75"/>
      <c r="I227"/>
    </row>
    <row r="228" spans="7:9">
      <c r="G228" s="75"/>
      <c r="I228"/>
    </row>
    <row r="229" spans="7:9">
      <c r="G229" s="75"/>
      <c r="I229"/>
    </row>
    <row r="230" spans="7:9">
      <c r="G230" s="75"/>
      <c r="I230"/>
    </row>
    <row r="231" spans="7:9">
      <c r="G231" s="75"/>
      <c r="I231"/>
    </row>
    <row r="232" spans="7:9">
      <c r="G232" s="75"/>
      <c r="I232"/>
    </row>
    <row r="233" spans="7:9">
      <c r="G233" s="75"/>
      <c r="I233"/>
    </row>
    <row r="234" spans="7:9">
      <c r="G234" s="75"/>
      <c r="I234"/>
    </row>
    <row r="235" spans="7:9">
      <c r="G235" s="75"/>
      <c r="I235"/>
    </row>
    <row r="236" spans="7:9">
      <c r="G236" s="75"/>
      <c r="I236"/>
    </row>
    <row r="237" spans="7:9">
      <c r="G237" s="75"/>
      <c r="I237"/>
    </row>
    <row r="238" spans="7:9">
      <c r="G238" s="75"/>
      <c r="I238"/>
    </row>
    <row r="239" spans="7:9">
      <c r="G239" s="75"/>
      <c r="I239"/>
    </row>
    <row r="240" spans="7:9">
      <c r="G240" s="75"/>
      <c r="I240"/>
    </row>
    <row r="241" spans="7:9">
      <c r="G241" s="75"/>
      <c r="I241"/>
    </row>
    <row r="242" spans="7:9">
      <c r="G242" s="75"/>
      <c r="I242"/>
    </row>
    <row r="243" spans="7:9">
      <c r="G243" s="75"/>
      <c r="I243"/>
    </row>
    <row r="244" spans="7:9">
      <c r="G244" s="75"/>
      <c r="I244"/>
    </row>
    <row r="245" spans="7:9">
      <c r="G245" s="75"/>
      <c r="I245"/>
    </row>
    <row r="246" spans="7:9">
      <c r="G246" s="75"/>
    </row>
    <row r="247" spans="7:9">
      <c r="G247" s="75"/>
    </row>
    <row r="248" spans="7:9">
      <c r="G248" s="75"/>
    </row>
    <row r="249" spans="7:9">
      <c r="G249" s="75"/>
    </row>
    <row r="250" spans="7:9">
      <c r="G250" s="75"/>
    </row>
    <row r="251" spans="7:9">
      <c r="G251" s="75"/>
    </row>
    <row r="252" spans="7:9">
      <c r="G252" s="75"/>
    </row>
    <row r="253" spans="7:9">
      <c r="G253" s="75"/>
    </row>
    <row r="254" spans="7:9">
      <c r="G254" s="75"/>
    </row>
    <row r="255" spans="7:9">
      <c r="G255" s="75"/>
    </row>
    <row r="256" spans="7:9">
      <c r="G256" s="75"/>
    </row>
    <row r="257" spans="7:7">
      <c r="G257" s="75"/>
    </row>
    <row r="258" spans="7:7">
      <c r="G258" s="75"/>
    </row>
    <row r="259" spans="7:7">
      <c r="G259" s="75"/>
    </row>
    <row r="260" spans="7:7">
      <c r="G260" s="75"/>
    </row>
    <row r="261" spans="7:7">
      <c r="G261" s="75"/>
    </row>
    <row r="262" spans="7:7">
      <c r="G262" s="75"/>
    </row>
    <row r="263" spans="7:7">
      <c r="G263" s="75"/>
    </row>
    <row r="264" spans="7:7">
      <c r="G264" s="75"/>
    </row>
    <row r="265" spans="7:7">
      <c r="G265" s="75"/>
    </row>
    <row r="266" spans="7:7">
      <c r="G266" s="75"/>
    </row>
    <row r="267" spans="7:7">
      <c r="G267" s="75"/>
    </row>
    <row r="268" spans="7:7">
      <c r="G268" s="75"/>
    </row>
    <row r="269" spans="7:7">
      <c r="G269" s="75"/>
    </row>
    <row r="270" spans="7:7">
      <c r="G270" s="75"/>
    </row>
    <row r="271" spans="7:7">
      <c r="G271" s="75"/>
    </row>
    <row r="272" spans="7:7">
      <c r="G272" s="75"/>
    </row>
    <row r="273" spans="7:7">
      <c r="G273" s="75"/>
    </row>
    <row r="274" spans="7:7">
      <c r="G274" s="75"/>
    </row>
    <row r="275" spans="7:7">
      <c r="G275" s="75"/>
    </row>
    <row r="276" spans="7:7">
      <c r="G276" s="75"/>
    </row>
    <row r="277" spans="7:7">
      <c r="G277" s="75"/>
    </row>
    <row r="278" spans="7:7">
      <c r="G278" s="75"/>
    </row>
    <row r="279" spans="7:7">
      <c r="G279" s="75"/>
    </row>
    <row r="280" spans="7:7">
      <c r="G280" s="75"/>
    </row>
    <row r="281" spans="7:7">
      <c r="G281" s="75"/>
    </row>
    <row r="282" spans="7:7">
      <c r="G282" s="75"/>
    </row>
    <row r="283" spans="7:7">
      <c r="G283" s="75"/>
    </row>
    <row r="284" spans="7:7">
      <c r="G284" s="75"/>
    </row>
    <row r="285" spans="7:7">
      <c r="G285" s="75"/>
    </row>
    <row r="286" spans="7:7">
      <c r="G286" s="75"/>
    </row>
    <row r="287" spans="7:7">
      <c r="G287" s="75"/>
    </row>
    <row r="288" spans="7:7">
      <c r="G288" s="75"/>
    </row>
    <row r="289" spans="7:7">
      <c r="G289" s="75"/>
    </row>
    <row r="290" spans="7:7">
      <c r="G290" s="75"/>
    </row>
    <row r="291" spans="7:7">
      <c r="G291" s="75"/>
    </row>
    <row r="292" spans="7:7">
      <c r="G292" s="75"/>
    </row>
    <row r="293" spans="7:7">
      <c r="G293" s="75"/>
    </row>
    <row r="294" spans="7:7">
      <c r="G294" s="75"/>
    </row>
    <row r="295" spans="7:7">
      <c r="G295" s="75"/>
    </row>
    <row r="296" spans="7:7">
      <c r="G296" s="75"/>
    </row>
    <row r="297" spans="7:7">
      <c r="G297" s="75"/>
    </row>
    <row r="298" spans="7:7">
      <c r="G298" s="75"/>
    </row>
    <row r="299" spans="7:7">
      <c r="G299" s="75"/>
    </row>
    <row r="300" spans="7:7">
      <c r="G300" s="75"/>
    </row>
    <row r="301" spans="7:7">
      <c r="G301" s="75"/>
    </row>
    <row r="302" spans="7:7">
      <c r="G302" s="75"/>
    </row>
    <row r="303" spans="7:7">
      <c r="G303" s="75"/>
    </row>
    <row r="304" spans="7:7">
      <c r="G304" s="75"/>
    </row>
    <row r="305" spans="7:7">
      <c r="G305" s="75"/>
    </row>
    <row r="306" spans="7:7">
      <c r="G306" s="75"/>
    </row>
    <row r="307" spans="7:7">
      <c r="G307" s="75"/>
    </row>
    <row r="308" spans="7:7">
      <c r="G308" s="75"/>
    </row>
    <row r="309" spans="7:7">
      <c r="G309" s="75"/>
    </row>
    <row r="310" spans="7:7">
      <c r="G310" s="75"/>
    </row>
    <row r="311" spans="7:7">
      <c r="G311" s="75"/>
    </row>
    <row r="312" spans="7:7">
      <c r="G312" s="75"/>
    </row>
    <row r="313" spans="7:7">
      <c r="G313" s="75"/>
    </row>
    <row r="314" spans="7:7">
      <c r="G314" s="75"/>
    </row>
    <row r="315" spans="7:7">
      <c r="G315" s="75"/>
    </row>
    <row r="316" spans="7:7">
      <c r="G316" s="75"/>
    </row>
    <row r="317" spans="7:7">
      <c r="G317" s="75"/>
    </row>
    <row r="318" spans="7:7">
      <c r="G318" s="75"/>
    </row>
    <row r="319" spans="7:7">
      <c r="G319" s="75"/>
    </row>
    <row r="320" spans="7:7">
      <c r="G320" s="75"/>
    </row>
    <row r="321" spans="7:7">
      <c r="G321" s="75"/>
    </row>
    <row r="322" spans="7:7">
      <c r="G322" s="75"/>
    </row>
    <row r="323" spans="7:7">
      <c r="G323" s="75"/>
    </row>
    <row r="324" spans="7:7">
      <c r="G324" s="75"/>
    </row>
    <row r="325" spans="7:7">
      <c r="G325" s="75"/>
    </row>
    <row r="326" spans="7:7">
      <c r="G326" s="75"/>
    </row>
    <row r="327" spans="7:7">
      <c r="G327" s="75"/>
    </row>
    <row r="328" spans="7:7">
      <c r="G328" s="75"/>
    </row>
    <row r="329" spans="7:7">
      <c r="G329" s="75"/>
    </row>
    <row r="330" spans="7:7">
      <c r="G330" s="75"/>
    </row>
    <row r="331" spans="7:7">
      <c r="G331" s="75"/>
    </row>
    <row r="332" spans="7:7">
      <c r="G332" s="75"/>
    </row>
    <row r="333" spans="7:7">
      <c r="G333" s="75"/>
    </row>
    <row r="334" spans="7:7">
      <c r="G334" s="75"/>
    </row>
    <row r="335" spans="7:7">
      <c r="G335" s="75"/>
    </row>
    <row r="336" spans="7:7">
      <c r="G336" s="75"/>
    </row>
    <row r="337" spans="7:7">
      <c r="G337" s="75"/>
    </row>
    <row r="338" spans="7:7">
      <c r="G338" s="75"/>
    </row>
    <row r="339" spans="7:7">
      <c r="G339" s="75"/>
    </row>
    <row r="340" spans="7:7">
      <c r="G340" s="75"/>
    </row>
    <row r="341" spans="7:7">
      <c r="G341" s="75"/>
    </row>
    <row r="342" spans="7:7">
      <c r="G342" s="75"/>
    </row>
    <row r="343" spans="7:7">
      <c r="G343" s="75"/>
    </row>
    <row r="344" spans="7:7">
      <c r="G344" s="75"/>
    </row>
    <row r="345" spans="7:7">
      <c r="G345" s="75"/>
    </row>
    <row r="346" spans="7:7">
      <c r="G346" s="75"/>
    </row>
    <row r="347" spans="7:7">
      <c r="G347" s="75"/>
    </row>
    <row r="348" spans="7:7">
      <c r="G348" s="75"/>
    </row>
    <row r="349" spans="7:7">
      <c r="G349" s="75"/>
    </row>
    <row r="350" spans="7:7">
      <c r="G350" s="75"/>
    </row>
    <row r="351" spans="7:7">
      <c r="G351" s="75"/>
    </row>
    <row r="352" spans="7:7">
      <c r="G352" s="75"/>
    </row>
    <row r="353" spans="7:7">
      <c r="G353" s="75"/>
    </row>
    <row r="354" spans="7:7">
      <c r="G354" s="75"/>
    </row>
    <row r="355" spans="7:7">
      <c r="G355" s="75"/>
    </row>
    <row r="356" spans="7:7">
      <c r="G356" s="75"/>
    </row>
    <row r="357" spans="7:7">
      <c r="G357" s="75"/>
    </row>
    <row r="358" spans="7:7">
      <c r="G358" s="75"/>
    </row>
    <row r="359" spans="7:7">
      <c r="G359" s="75"/>
    </row>
    <row r="360" spans="7:7">
      <c r="G360" s="75"/>
    </row>
    <row r="361" spans="7:7">
      <c r="G361" s="75"/>
    </row>
    <row r="362" spans="7:7">
      <c r="G362" s="75"/>
    </row>
    <row r="363" spans="7:7">
      <c r="G363" s="75"/>
    </row>
    <row r="364" spans="7:7">
      <c r="G364" s="75"/>
    </row>
    <row r="365" spans="7:7">
      <c r="G365" s="75"/>
    </row>
    <row r="366" spans="7:7">
      <c r="G366" s="75"/>
    </row>
    <row r="367" spans="7:7">
      <c r="G367" s="75"/>
    </row>
    <row r="368" spans="7:7">
      <c r="G368" s="75"/>
    </row>
    <row r="369" spans="7:7">
      <c r="G369" s="75"/>
    </row>
    <row r="370" spans="7:7">
      <c r="G370" s="75"/>
    </row>
    <row r="371" spans="7:7">
      <c r="G371" s="75"/>
    </row>
    <row r="372" spans="7:7">
      <c r="G372" s="75"/>
    </row>
    <row r="373" spans="7:7">
      <c r="G373" s="75"/>
    </row>
    <row r="374" spans="7:7">
      <c r="G374" s="75"/>
    </row>
    <row r="375" spans="7:7">
      <c r="G375" s="75"/>
    </row>
    <row r="376" spans="7:7">
      <c r="G376" s="75"/>
    </row>
    <row r="377" spans="7:7">
      <c r="G377" s="75"/>
    </row>
    <row r="378" spans="7:7">
      <c r="G378" s="75"/>
    </row>
    <row r="379" spans="7:7">
      <c r="G379" s="75"/>
    </row>
    <row r="380" spans="7:7">
      <c r="G380" s="75"/>
    </row>
    <row r="381" spans="7:7">
      <c r="G381" s="75"/>
    </row>
    <row r="382" spans="7:7">
      <c r="G382" s="75"/>
    </row>
    <row r="383" spans="7:7">
      <c r="G383" s="75"/>
    </row>
    <row r="384" spans="7:7">
      <c r="G384" s="75"/>
    </row>
    <row r="385" spans="7:7">
      <c r="G385" s="75"/>
    </row>
    <row r="386" spans="7:7">
      <c r="G386" s="75"/>
    </row>
    <row r="387" spans="7:7">
      <c r="G387" s="75"/>
    </row>
    <row r="388" spans="7:7">
      <c r="G388" s="75"/>
    </row>
    <row r="389" spans="7:7">
      <c r="G389" s="75"/>
    </row>
    <row r="390" spans="7:7">
      <c r="G390" s="75"/>
    </row>
    <row r="391" spans="7:7">
      <c r="G391" s="75"/>
    </row>
    <row r="392" spans="7:7">
      <c r="G392" s="75"/>
    </row>
    <row r="393" spans="7:7">
      <c r="G393" s="75"/>
    </row>
    <row r="394" spans="7:7">
      <c r="G394" s="75"/>
    </row>
    <row r="395" spans="7:7">
      <c r="G395" s="75"/>
    </row>
    <row r="396" spans="7:7">
      <c r="G396" s="75"/>
    </row>
    <row r="397" spans="7:7">
      <c r="G397" s="75"/>
    </row>
    <row r="398" spans="7:7">
      <c r="G398" s="75"/>
    </row>
    <row r="399" spans="7:7">
      <c r="G399" s="75"/>
    </row>
    <row r="400" spans="7:7">
      <c r="G400" s="75"/>
    </row>
    <row r="401" spans="7:7">
      <c r="G401" s="75"/>
    </row>
    <row r="402" spans="7:7">
      <c r="G402" s="75"/>
    </row>
    <row r="403" spans="7:7">
      <c r="G403" s="75"/>
    </row>
    <row r="404" spans="7:7">
      <c r="G404" s="75"/>
    </row>
    <row r="405" spans="7:7">
      <c r="G405" s="75"/>
    </row>
    <row r="406" spans="7:7">
      <c r="G406" s="75"/>
    </row>
    <row r="407" spans="7:7">
      <c r="G407" s="75"/>
    </row>
    <row r="408" spans="7:7">
      <c r="G408" s="75"/>
    </row>
    <row r="409" spans="7:7">
      <c r="G409" s="75"/>
    </row>
    <row r="410" spans="7:7">
      <c r="G410" s="75"/>
    </row>
    <row r="411" spans="7:7">
      <c r="G411" s="75"/>
    </row>
    <row r="412" spans="7:7">
      <c r="G412" s="75"/>
    </row>
    <row r="413" spans="7:7">
      <c r="G413" s="75"/>
    </row>
  </sheetData>
  <mergeCells count="11">
    <mergeCell ref="C4:C5"/>
    <mergeCell ref="A3:A5"/>
    <mergeCell ref="I3:I5"/>
    <mergeCell ref="A1:I1"/>
    <mergeCell ref="A2:I2"/>
    <mergeCell ref="F4:F5"/>
    <mergeCell ref="G4:G5"/>
    <mergeCell ref="H4:H5"/>
    <mergeCell ref="F3:H3"/>
    <mergeCell ref="D3:D5"/>
    <mergeCell ref="E3:E5"/>
  </mergeCells>
  <dataValidations count="2">
    <dataValidation type="list" allowBlank="1" showInputMessage="1" showErrorMessage="1" sqref="B6" xr:uid="{00000000-0002-0000-0400-000000000000}">
      <formula1>$B$4:$B$4</formula1>
    </dataValidation>
    <dataValidation type="list" allowBlank="1" showInputMessage="1" showErrorMessage="1" sqref="B7:B98" xr:uid="{00000000-0002-0000-0400-000001000000}">
      <formula1>$B$4:$B$5</formula1>
    </dataValidation>
  </dataValidations>
  <pageMargins left="0.70866141732283505" right="0.70866141732283505" top="0.74803149606299202" bottom="0.74803149606299202" header="0.31496062992126" footer="0.31496062992126"/>
  <pageSetup paperSize="9" scale="75" fitToHeight="3" orientation="landscape" r:id="rId1"/>
  <headerFooter>
    <oddFooter>&amp;C&amp;A&amp;R&amp;P</oddFooter>
  </headerFooter>
  <ignoredErrors>
    <ignoredError sqref="H32"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125"/>
  <sheetViews>
    <sheetView zoomScaleNormal="100" workbookViewId="0">
      <pane ySplit="6" topLeftCell="A7" activePane="bottomLeft" state="frozen"/>
      <selection pane="bottomLeft" sqref="A1:I1"/>
    </sheetView>
  </sheetViews>
  <sheetFormatPr baseColWidth="10" defaultColWidth="8.83203125" defaultRowHeight="15"/>
  <cols>
    <col min="1" max="1" width="24.83203125" style="3" customWidth="1"/>
    <col min="2" max="2" width="32.1640625" style="74" customWidth="1"/>
    <col min="3" max="3" width="10.5" style="5" customWidth="1"/>
    <col min="4" max="5" width="10.5" style="61" customWidth="1"/>
    <col min="6" max="6" width="14.1640625" style="73" customWidth="1"/>
    <col min="7" max="7" width="12.6640625" style="73" customWidth="1"/>
    <col min="8" max="8" width="14.6640625" style="14" customWidth="1"/>
    <col min="9" max="9" width="18.83203125" style="32" customWidth="1"/>
    <col min="10" max="10" width="8.83203125" style="71"/>
  </cols>
  <sheetData>
    <row r="1" spans="1:10" s="1" customFormat="1" ht="30" customHeight="1">
      <c r="A1" s="265" t="s">
        <v>438</v>
      </c>
      <c r="B1" s="265"/>
      <c r="C1" s="265"/>
      <c r="D1" s="265"/>
      <c r="E1" s="265"/>
      <c r="F1" s="265"/>
      <c r="G1" s="265"/>
      <c r="H1" s="265"/>
      <c r="I1" s="270"/>
      <c r="J1" s="81"/>
    </row>
    <row r="2" spans="1:10" s="1" customFormat="1" ht="16" customHeight="1">
      <c r="A2" s="271" t="s">
        <v>668</v>
      </c>
      <c r="B2" s="271"/>
      <c r="C2" s="271"/>
      <c r="D2" s="271"/>
      <c r="E2" s="271"/>
      <c r="F2" s="271"/>
      <c r="G2" s="271"/>
      <c r="H2" s="271"/>
      <c r="I2" s="272"/>
      <c r="J2" s="81"/>
    </row>
    <row r="3" spans="1:10" ht="74" customHeight="1">
      <c r="A3" s="263" t="s">
        <v>658</v>
      </c>
      <c r="B3" s="82" t="str">
        <f>'Оценка (раздел 1)'!G3</f>
        <v>1.3 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v>
      </c>
      <c r="C3" s="104" t="s">
        <v>99</v>
      </c>
      <c r="D3" s="263" t="s">
        <v>154</v>
      </c>
      <c r="E3" s="263"/>
      <c r="F3" s="264" t="s">
        <v>439</v>
      </c>
      <c r="G3" s="269"/>
      <c r="H3" s="269"/>
      <c r="I3" s="263" t="s">
        <v>130</v>
      </c>
    </row>
    <row r="4" spans="1:10" ht="18" customHeight="1">
      <c r="A4" s="263"/>
      <c r="B4" s="83" t="str">
        <f>'Методика (раздел 1)'!B17</f>
        <v>Да, содержится</v>
      </c>
      <c r="C4" s="262" t="s">
        <v>89</v>
      </c>
      <c r="D4" s="263" t="s">
        <v>155</v>
      </c>
      <c r="E4" s="263" t="s">
        <v>156</v>
      </c>
      <c r="F4" s="263" t="s">
        <v>110</v>
      </c>
      <c r="G4" s="263" t="s">
        <v>113</v>
      </c>
      <c r="H4" s="263" t="s">
        <v>134</v>
      </c>
      <c r="I4" s="263"/>
    </row>
    <row r="5" spans="1:10" ht="18" customHeight="1">
      <c r="A5" s="263"/>
      <c r="B5" s="83" t="str">
        <f>'Методика (раздел 1)'!B18</f>
        <v xml:space="preserve">Нет, не содержится </v>
      </c>
      <c r="C5" s="262"/>
      <c r="D5" s="263"/>
      <c r="E5" s="263"/>
      <c r="F5" s="263"/>
      <c r="G5" s="263"/>
      <c r="H5" s="263"/>
      <c r="I5" s="263"/>
    </row>
    <row r="6" spans="1:10" ht="16" customHeight="1">
      <c r="A6" s="84" t="s">
        <v>0</v>
      </c>
      <c r="B6" s="85"/>
      <c r="C6" s="84"/>
      <c r="D6" s="42"/>
      <c r="E6" s="42"/>
      <c r="F6" s="42"/>
      <c r="G6" s="42"/>
      <c r="H6" s="86"/>
      <c r="I6" s="87"/>
    </row>
    <row r="7" spans="1:10" ht="16" customHeight="1">
      <c r="A7" s="107" t="s">
        <v>1</v>
      </c>
      <c r="B7" s="50" t="s">
        <v>92</v>
      </c>
      <c r="C7" s="88">
        <f>IF(B7="Да, содержится",2,0)</f>
        <v>2</v>
      </c>
      <c r="D7" s="140" t="s">
        <v>121</v>
      </c>
      <c r="E7" s="140" t="s">
        <v>121</v>
      </c>
      <c r="F7" s="47">
        <f>'1.2'!F7</f>
        <v>246</v>
      </c>
      <c r="G7" s="49">
        <f>'1.1'!H7</f>
        <v>44918</v>
      </c>
      <c r="H7" s="174">
        <v>10</v>
      </c>
      <c r="I7" s="50" t="s">
        <v>111</v>
      </c>
    </row>
    <row r="8" spans="1:10" ht="16" customHeight="1">
      <c r="A8" s="107" t="s">
        <v>2</v>
      </c>
      <c r="B8" s="50" t="s">
        <v>92</v>
      </c>
      <c r="C8" s="88">
        <f t="shared" ref="C8:C24" si="0">IF(B8="Да, содержится",2,0)</f>
        <v>2</v>
      </c>
      <c r="D8" s="140" t="s">
        <v>121</v>
      </c>
      <c r="E8" s="140" t="s">
        <v>121</v>
      </c>
      <c r="F8" s="47" t="str">
        <f>'1.2'!F8</f>
        <v>100-З</v>
      </c>
      <c r="G8" s="49">
        <f>'1.1'!H8</f>
        <v>44907</v>
      </c>
      <c r="H8" s="47">
        <v>5</v>
      </c>
      <c r="I8" s="50" t="s">
        <v>111</v>
      </c>
    </row>
    <row r="9" spans="1:10" ht="16" customHeight="1">
      <c r="A9" s="107" t="s">
        <v>3</v>
      </c>
      <c r="B9" s="50" t="s">
        <v>92</v>
      </c>
      <c r="C9" s="88">
        <f t="shared" si="0"/>
        <v>2</v>
      </c>
      <c r="D9" s="140" t="s">
        <v>121</v>
      </c>
      <c r="E9" s="140" t="s">
        <v>121</v>
      </c>
      <c r="F9" s="47" t="str">
        <f>'1.2'!F9</f>
        <v>129-ОЗ</v>
      </c>
      <c r="G9" s="49">
        <f>'1.1'!H9</f>
        <v>44921</v>
      </c>
      <c r="H9" s="174">
        <v>11</v>
      </c>
      <c r="I9" s="50" t="s">
        <v>111</v>
      </c>
    </row>
    <row r="10" spans="1:10" ht="16" customHeight="1">
      <c r="A10" s="107" t="s">
        <v>4</v>
      </c>
      <c r="B10" s="50" t="s">
        <v>92</v>
      </c>
      <c r="C10" s="88">
        <f t="shared" si="0"/>
        <v>2</v>
      </c>
      <c r="D10" s="140" t="s">
        <v>121</v>
      </c>
      <c r="E10" s="140" t="s">
        <v>121</v>
      </c>
      <c r="F10" s="47" t="str">
        <f>'1.2'!F10</f>
        <v>119-ОЗ</v>
      </c>
      <c r="G10" s="49">
        <f>'1.1'!H10</f>
        <v>44914</v>
      </c>
      <c r="H10" s="174">
        <v>10</v>
      </c>
      <c r="I10" s="50" t="s">
        <v>111</v>
      </c>
    </row>
    <row r="11" spans="1:10" ht="16" customHeight="1">
      <c r="A11" s="107" t="s">
        <v>5</v>
      </c>
      <c r="B11" s="50" t="s">
        <v>92</v>
      </c>
      <c r="C11" s="88">
        <f t="shared" si="0"/>
        <v>2</v>
      </c>
      <c r="D11" s="140" t="s">
        <v>121</v>
      </c>
      <c r="E11" s="140" t="s">
        <v>121</v>
      </c>
      <c r="F11" s="47" t="str">
        <f>'1.2'!F11</f>
        <v>76-ОЗ</v>
      </c>
      <c r="G11" s="49">
        <f>'1.1'!H11</f>
        <v>44914</v>
      </c>
      <c r="H11" s="174">
        <v>10</v>
      </c>
      <c r="I11" s="50" t="s">
        <v>111</v>
      </c>
    </row>
    <row r="12" spans="1:10" ht="16" customHeight="1">
      <c r="A12" s="107" t="s">
        <v>6</v>
      </c>
      <c r="B12" s="50" t="s">
        <v>92</v>
      </c>
      <c r="C12" s="88">
        <f t="shared" si="0"/>
        <v>2</v>
      </c>
      <c r="D12" s="140" t="s">
        <v>121</v>
      </c>
      <c r="E12" s="140" t="s">
        <v>121</v>
      </c>
      <c r="F12" s="47" t="str">
        <f>'1.2'!F12</f>
        <v>301-ОЗ</v>
      </c>
      <c r="G12" s="49">
        <f>'1.1'!H12</f>
        <v>44896</v>
      </c>
      <c r="H12" s="174" t="s">
        <v>253</v>
      </c>
      <c r="I12" s="50" t="s">
        <v>111</v>
      </c>
    </row>
    <row r="13" spans="1:10" ht="16" customHeight="1">
      <c r="A13" s="107" t="s">
        <v>7</v>
      </c>
      <c r="B13" s="50" t="s">
        <v>92</v>
      </c>
      <c r="C13" s="88">
        <f t="shared" si="0"/>
        <v>2</v>
      </c>
      <c r="D13" s="140" t="s">
        <v>121</v>
      </c>
      <c r="E13" s="140" t="s">
        <v>121</v>
      </c>
      <c r="F13" s="47" t="str">
        <f>'1.2'!F13</f>
        <v>297-7-ЗКО</v>
      </c>
      <c r="G13" s="49">
        <f>'1.1'!H13</f>
        <v>44914</v>
      </c>
      <c r="H13" s="174" t="s">
        <v>147</v>
      </c>
      <c r="I13" s="50" t="s">
        <v>111</v>
      </c>
    </row>
    <row r="14" spans="1:10" ht="16" customHeight="1">
      <c r="A14" s="107" t="s">
        <v>8</v>
      </c>
      <c r="B14" s="50" t="s">
        <v>92</v>
      </c>
      <c r="C14" s="88">
        <f t="shared" si="0"/>
        <v>2</v>
      </c>
      <c r="D14" s="140" t="s">
        <v>121</v>
      </c>
      <c r="E14" s="140" t="s">
        <v>121</v>
      </c>
      <c r="F14" s="47" t="str">
        <f>'1.2'!F14</f>
        <v>145-ЗКО</v>
      </c>
      <c r="G14" s="49">
        <f>'1.1'!H14</f>
        <v>44914</v>
      </c>
      <c r="H14" s="174">
        <v>6</v>
      </c>
      <c r="I14" s="50" t="s">
        <v>111</v>
      </c>
    </row>
    <row r="15" spans="1:10" ht="16" customHeight="1">
      <c r="A15" s="107" t="s">
        <v>9</v>
      </c>
      <c r="B15" s="50" t="s">
        <v>92</v>
      </c>
      <c r="C15" s="88">
        <f t="shared" si="0"/>
        <v>2</v>
      </c>
      <c r="D15" s="140" t="s">
        <v>121</v>
      </c>
      <c r="E15" s="140" t="s">
        <v>121</v>
      </c>
      <c r="F15" s="47" t="str">
        <f>'1.2'!F15</f>
        <v>243-ОЗ</v>
      </c>
      <c r="G15" s="49">
        <f>'1.1'!H15</f>
        <v>44902</v>
      </c>
      <c r="H15" s="174">
        <v>8</v>
      </c>
      <c r="I15" s="50" t="s">
        <v>111</v>
      </c>
    </row>
    <row r="16" spans="1:10" ht="16" customHeight="1">
      <c r="A16" s="107" t="s">
        <v>10</v>
      </c>
      <c r="B16" s="50" t="s">
        <v>92</v>
      </c>
      <c r="C16" s="88">
        <f t="shared" si="0"/>
        <v>2</v>
      </c>
      <c r="D16" s="140" t="s">
        <v>121</v>
      </c>
      <c r="E16" s="140" t="s">
        <v>121</v>
      </c>
      <c r="F16" s="47" t="str">
        <f>'1.2'!F16</f>
        <v>220/2022-ОЗ</v>
      </c>
      <c r="G16" s="49">
        <f>'1.1'!H16</f>
        <v>44902</v>
      </c>
      <c r="H16" s="174">
        <v>6</v>
      </c>
      <c r="I16" s="50" t="s">
        <v>111</v>
      </c>
    </row>
    <row r="17" spans="1:9" ht="16" customHeight="1">
      <c r="A17" s="107" t="s">
        <v>11</v>
      </c>
      <c r="B17" s="50" t="s">
        <v>92</v>
      </c>
      <c r="C17" s="88">
        <f t="shared" si="0"/>
        <v>2</v>
      </c>
      <c r="D17" s="140" t="s">
        <v>121</v>
      </c>
      <c r="E17" s="140" t="s">
        <v>121</v>
      </c>
      <c r="F17" s="47" t="str">
        <f>'1.2'!F17</f>
        <v>2838-ОЗ</v>
      </c>
      <c r="G17" s="49">
        <f>'1.1'!H17</f>
        <v>44897</v>
      </c>
      <c r="H17" s="47">
        <v>6</v>
      </c>
      <c r="I17" s="50" t="s">
        <v>111</v>
      </c>
    </row>
    <row r="18" spans="1:9" ht="16" customHeight="1">
      <c r="A18" s="107" t="s">
        <v>12</v>
      </c>
      <c r="B18" s="50" t="s">
        <v>92</v>
      </c>
      <c r="C18" s="88">
        <f t="shared" si="0"/>
        <v>2</v>
      </c>
      <c r="D18" s="140" t="s">
        <v>121</v>
      </c>
      <c r="E18" s="140" t="s">
        <v>121</v>
      </c>
      <c r="F18" s="47" t="str">
        <f>'1.2'!F18</f>
        <v>94-ОЗ</v>
      </c>
      <c r="G18" s="49">
        <f>'1.1'!H18</f>
        <v>44921</v>
      </c>
      <c r="H18" s="174">
        <v>6</v>
      </c>
      <c r="I18" s="50" t="s">
        <v>111</v>
      </c>
    </row>
    <row r="19" spans="1:9" ht="16" customHeight="1">
      <c r="A19" s="107" t="s">
        <v>13</v>
      </c>
      <c r="B19" s="50" t="s">
        <v>92</v>
      </c>
      <c r="C19" s="88">
        <f t="shared" si="0"/>
        <v>2</v>
      </c>
      <c r="D19" s="140" t="s">
        <v>121</v>
      </c>
      <c r="E19" s="140" t="s">
        <v>121</v>
      </c>
      <c r="F19" s="47" t="str">
        <f>'1.2'!F19</f>
        <v>159-з</v>
      </c>
      <c r="G19" s="49">
        <f>'1.1'!H19</f>
        <v>44910</v>
      </c>
      <c r="H19" s="174" t="s">
        <v>151</v>
      </c>
      <c r="I19" s="50" t="s">
        <v>111</v>
      </c>
    </row>
    <row r="20" spans="1:9" ht="16" customHeight="1">
      <c r="A20" s="107" t="s">
        <v>14</v>
      </c>
      <c r="B20" s="50" t="s">
        <v>92</v>
      </c>
      <c r="C20" s="88">
        <f t="shared" si="0"/>
        <v>2</v>
      </c>
      <c r="D20" s="140" t="s">
        <v>121</v>
      </c>
      <c r="E20" s="140" t="s">
        <v>121</v>
      </c>
      <c r="F20" s="47" t="str">
        <f>'1.2'!F20</f>
        <v>206-З</v>
      </c>
      <c r="G20" s="49">
        <f>'1.1'!H20</f>
        <v>44918</v>
      </c>
      <c r="H20" s="174">
        <v>7</v>
      </c>
      <c r="I20" s="50" t="s">
        <v>111</v>
      </c>
    </row>
    <row r="21" spans="1:9" ht="16" customHeight="1">
      <c r="A21" s="107" t="s">
        <v>15</v>
      </c>
      <c r="B21" s="50" t="s">
        <v>92</v>
      </c>
      <c r="C21" s="88">
        <f t="shared" si="0"/>
        <v>2</v>
      </c>
      <c r="D21" s="140" t="s">
        <v>121</v>
      </c>
      <c r="E21" s="140" t="s">
        <v>121</v>
      </c>
      <c r="F21" s="47" t="str">
        <f>'1.2'!F21</f>
        <v>111-ЗО</v>
      </c>
      <c r="G21" s="49">
        <f>'1.1'!H21</f>
        <v>44924</v>
      </c>
      <c r="H21" s="174">
        <v>6</v>
      </c>
      <c r="I21" s="50" t="s">
        <v>111</v>
      </c>
    </row>
    <row r="22" spans="1:9" ht="16" customHeight="1">
      <c r="A22" s="107" t="s">
        <v>16</v>
      </c>
      <c r="B22" s="50" t="s">
        <v>92</v>
      </c>
      <c r="C22" s="88">
        <f t="shared" si="0"/>
        <v>2</v>
      </c>
      <c r="D22" s="140" t="s">
        <v>121</v>
      </c>
      <c r="E22" s="140" t="s">
        <v>121</v>
      </c>
      <c r="F22" s="47" t="str">
        <f>'1.2'!F22</f>
        <v>138-ЗТО</v>
      </c>
      <c r="G22" s="49">
        <f>'1.1'!H22</f>
        <v>44916</v>
      </c>
      <c r="H22" s="174" t="s">
        <v>158</v>
      </c>
      <c r="I22" s="50" t="s">
        <v>111</v>
      </c>
    </row>
    <row r="23" spans="1:9" ht="16" customHeight="1">
      <c r="A23" s="107" t="s">
        <v>17</v>
      </c>
      <c r="B23" s="50" t="s">
        <v>101</v>
      </c>
      <c r="C23" s="88">
        <f t="shared" si="0"/>
        <v>0</v>
      </c>
      <c r="D23" s="140" t="s">
        <v>122</v>
      </c>
      <c r="E23" s="140" t="s">
        <v>122</v>
      </c>
      <c r="F23" s="47" t="str">
        <f>'1.2'!F23</f>
        <v>76-з</v>
      </c>
      <c r="G23" s="49">
        <f>'1.1'!H23</f>
        <v>44918</v>
      </c>
      <c r="H23" s="174" t="s">
        <v>122</v>
      </c>
      <c r="I23" s="50" t="s">
        <v>665</v>
      </c>
    </row>
    <row r="24" spans="1:9" ht="16" customHeight="1">
      <c r="A24" s="107" t="s">
        <v>545</v>
      </c>
      <c r="B24" s="50" t="s">
        <v>101</v>
      </c>
      <c r="C24" s="88">
        <f t="shared" si="0"/>
        <v>0</v>
      </c>
      <c r="D24" s="140" t="s">
        <v>122</v>
      </c>
      <c r="E24" s="140" t="s">
        <v>122</v>
      </c>
      <c r="F24" s="47">
        <f>'1.2'!F24</f>
        <v>30</v>
      </c>
      <c r="G24" s="49">
        <f>'1.1'!H24</f>
        <v>44867</v>
      </c>
      <c r="H24" s="174" t="s">
        <v>122</v>
      </c>
      <c r="I24" s="50" t="s">
        <v>665</v>
      </c>
    </row>
    <row r="25" spans="1:9" ht="16" customHeight="1">
      <c r="A25" s="120" t="s">
        <v>18</v>
      </c>
      <c r="B25" s="85"/>
      <c r="C25" s="43"/>
      <c r="D25" s="226"/>
      <c r="E25" s="226"/>
      <c r="F25" s="226"/>
      <c r="G25" s="44"/>
      <c r="H25" s="42"/>
      <c r="I25" s="89"/>
    </row>
    <row r="26" spans="1:9" ht="16" customHeight="1">
      <c r="A26" s="107" t="s">
        <v>19</v>
      </c>
      <c r="B26" s="50" t="s">
        <v>92</v>
      </c>
      <c r="C26" s="88">
        <f t="shared" ref="C26:C36" si="1">IF(B26="Да, содержится",2,0)</f>
        <v>2</v>
      </c>
      <c r="D26" s="140" t="s">
        <v>121</v>
      </c>
      <c r="E26" s="140" t="s">
        <v>121</v>
      </c>
      <c r="F26" s="47" t="str">
        <f>'1.2'!F26</f>
        <v>2776-ЗРК</v>
      </c>
      <c r="G26" s="49">
        <f>'1.1'!H26</f>
        <v>44916</v>
      </c>
      <c r="H26" s="174" t="s">
        <v>144</v>
      </c>
      <c r="I26" s="50" t="s">
        <v>111</v>
      </c>
    </row>
    <row r="27" spans="1:9" ht="16" customHeight="1">
      <c r="A27" s="107" t="s">
        <v>20</v>
      </c>
      <c r="B27" s="50" t="s">
        <v>101</v>
      </c>
      <c r="C27" s="88">
        <f t="shared" si="1"/>
        <v>0</v>
      </c>
      <c r="D27" s="140" t="s">
        <v>122</v>
      </c>
      <c r="E27" s="140" t="s">
        <v>122</v>
      </c>
      <c r="F27" s="47" t="str">
        <f>'1.2'!F27</f>
        <v>104-РЗ</v>
      </c>
      <c r="G27" s="49">
        <f>'1.1'!H27</f>
        <v>44900</v>
      </c>
      <c r="H27" s="174" t="s">
        <v>122</v>
      </c>
      <c r="I27" s="50" t="s">
        <v>665</v>
      </c>
    </row>
    <row r="28" spans="1:9" ht="16" customHeight="1">
      <c r="A28" s="107" t="s">
        <v>21</v>
      </c>
      <c r="B28" s="50" t="s">
        <v>92</v>
      </c>
      <c r="C28" s="88">
        <f t="shared" si="1"/>
        <v>2</v>
      </c>
      <c r="D28" s="140" t="s">
        <v>121</v>
      </c>
      <c r="E28" s="140" t="s">
        <v>121</v>
      </c>
      <c r="F28" s="47" t="str">
        <f>'1.2'!F28</f>
        <v>655-40-ОЗ</v>
      </c>
      <c r="G28" s="49">
        <f>'1.1'!H28</f>
        <v>44915</v>
      </c>
      <c r="H28" s="174">
        <v>5</v>
      </c>
      <c r="I28" s="50" t="s">
        <v>111</v>
      </c>
    </row>
    <row r="29" spans="1:9" ht="16" customHeight="1">
      <c r="A29" s="107" t="s">
        <v>22</v>
      </c>
      <c r="B29" s="50" t="s">
        <v>92</v>
      </c>
      <c r="C29" s="88">
        <f t="shared" si="1"/>
        <v>2</v>
      </c>
      <c r="D29" s="140" t="s">
        <v>121</v>
      </c>
      <c r="E29" s="140" t="s">
        <v>121</v>
      </c>
      <c r="F29" s="47" t="str">
        <f>'1.2'!F29</f>
        <v>5283-ОЗ</v>
      </c>
      <c r="G29" s="49">
        <f>'1.1'!H29</f>
        <v>44908</v>
      </c>
      <c r="H29" s="174">
        <v>7</v>
      </c>
      <c r="I29" s="50" t="s">
        <v>111</v>
      </c>
    </row>
    <row r="30" spans="1:9" ht="16" customHeight="1">
      <c r="A30" s="107" t="s">
        <v>23</v>
      </c>
      <c r="B30" s="50" t="s">
        <v>101</v>
      </c>
      <c r="C30" s="88">
        <f t="shared" si="1"/>
        <v>0</v>
      </c>
      <c r="D30" s="140" t="s">
        <v>122</v>
      </c>
      <c r="E30" s="140" t="s">
        <v>122</v>
      </c>
      <c r="F30" s="47">
        <f>'1.2'!F30</f>
        <v>167</v>
      </c>
      <c r="G30" s="49">
        <f>'1.1'!H30</f>
        <v>44917</v>
      </c>
      <c r="H30" s="140" t="s">
        <v>122</v>
      </c>
      <c r="I30" s="50" t="s">
        <v>665</v>
      </c>
    </row>
    <row r="31" spans="1:9" ht="16" customHeight="1">
      <c r="A31" s="107" t="s">
        <v>24</v>
      </c>
      <c r="B31" s="50" t="s">
        <v>92</v>
      </c>
      <c r="C31" s="88">
        <f t="shared" si="1"/>
        <v>2</v>
      </c>
      <c r="D31" s="140" t="s">
        <v>121</v>
      </c>
      <c r="E31" s="140" t="s">
        <v>121</v>
      </c>
      <c r="F31" s="47" t="str">
        <f>'1.2'!F31</f>
        <v>151-оз</v>
      </c>
      <c r="G31" s="49">
        <f>'1.1'!H31</f>
        <v>44914</v>
      </c>
      <c r="H31" s="174">
        <v>7</v>
      </c>
      <c r="I31" s="50" t="s">
        <v>111</v>
      </c>
    </row>
    <row r="32" spans="1:9" ht="16" customHeight="1">
      <c r="A32" s="107" t="s">
        <v>25</v>
      </c>
      <c r="B32" s="50" t="s">
        <v>92</v>
      </c>
      <c r="C32" s="88">
        <f t="shared" si="1"/>
        <v>2</v>
      </c>
      <c r="D32" s="140" t="s">
        <v>121</v>
      </c>
      <c r="E32" s="140" t="s">
        <v>121</v>
      </c>
      <c r="F32" s="47" t="str">
        <f>'1.2'!F32</f>
        <v>2845-01-ЗМО</v>
      </c>
      <c r="G32" s="49">
        <f>'1.1'!H32</f>
        <v>44915</v>
      </c>
      <c r="H32" s="174" t="s">
        <v>351</v>
      </c>
      <c r="I32" s="50" t="s">
        <v>111</v>
      </c>
    </row>
    <row r="33" spans="1:9" ht="16" customHeight="1">
      <c r="A33" s="107" t="s">
        <v>26</v>
      </c>
      <c r="B33" s="50" t="s">
        <v>92</v>
      </c>
      <c r="C33" s="88">
        <f t="shared" si="1"/>
        <v>2</v>
      </c>
      <c r="D33" s="140" t="s">
        <v>121</v>
      </c>
      <c r="E33" s="140" t="s">
        <v>121</v>
      </c>
      <c r="F33" s="47" t="str">
        <f>'1.2'!F33</f>
        <v>251-ОЗ</v>
      </c>
      <c r="G33" s="49">
        <f>'1.1'!H33</f>
        <v>44917</v>
      </c>
      <c r="H33" s="174">
        <v>9</v>
      </c>
      <c r="I33" s="50" t="s">
        <v>111</v>
      </c>
    </row>
    <row r="34" spans="1:9" ht="16" customHeight="1">
      <c r="A34" s="107" t="s">
        <v>27</v>
      </c>
      <c r="B34" s="50" t="s">
        <v>92</v>
      </c>
      <c r="C34" s="88">
        <f t="shared" si="1"/>
        <v>2</v>
      </c>
      <c r="D34" s="140" t="s">
        <v>121</v>
      </c>
      <c r="E34" s="140" t="s">
        <v>121</v>
      </c>
      <c r="F34" s="47" t="str">
        <f>'1.2'!F34</f>
        <v>2318-ОЗ</v>
      </c>
      <c r="G34" s="49">
        <f>'1.1'!H34</f>
        <v>44924</v>
      </c>
      <c r="H34" s="174" t="s">
        <v>153</v>
      </c>
      <c r="I34" s="50" t="s">
        <v>111</v>
      </c>
    </row>
    <row r="35" spans="1:9" ht="16" customHeight="1">
      <c r="A35" s="107" t="s">
        <v>546</v>
      </c>
      <c r="B35" s="50" t="s">
        <v>92</v>
      </c>
      <c r="C35" s="88">
        <f t="shared" si="1"/>
        <v>2</v>
      </c>
      <c r="D35" s="140" t="s">
        <v>121</v>
      </c>
      <c r="E35" s="140" t="s">
        <v>121</v>
      </c>
      <c r="F35" s="47" t="str">
        <f>'1.2'!F35</f>
        <v>666-104</v>
      </c>
      <c r="G35" s="49">
        <f>'1.1'!H35</f>
        <v>44888</v>
      </c>
      <c r="H35" s="174">
        <v>3</v>
      </c>
      <c r="I35" s="50" t="s">
        <v>111</v>
      </c>
    </row>
    <row r="36" spans="1:9" ht="16" customHeight="1">
      <c r="A36" s="107" t="s">
        <v>28</v>
      </c>
      <c r="B36" s="50" t="s">
        <v>92</v>
      </c>
      <c r="C36" s="88">
        <f t="shared" si="1"/>
        <v>2</v>
      </c>
      <c r="D36" s="140" t="s">
        <v>121</v>
      </c>
      <c r="E36" s="140" t="s">
        <v>121</v>
      </c>
      <c r="F36" s="47" t="str">
        <f>'1.2'!F36</f>
        <v>372-ОЗ</v>
      </c>
      <c r="G36" s="49">
        <f>'1.1'!H36</f>
        <v>44917</v>
      </c>
      <c r="H36" s="174">
        <v>6</v>
      </c>
      <c r="I36" s="50" t="s">
        <v>111</v>
      </c>
    </row>
    <row r="37" spans="1:9" ht="16" customHeight="1">
      <c r="A37" s="120" t="s">
        <v>29</v>
      </c>
      <c r="B37" s="85"/>
      <c r="C37" s="43"/>
      <c r="D37" s="226"/>
      <c r="E37" s="226"/>
      <c r="F37" s="226"/>
      <c r="G37" s="44"/>
      <c r="H37" s="42"/>
      <c r="I37" s="89"/>
    </row>
    <row r="38" spans="1:9" ht="16" customHeight="1">
      <c r="A38" s="107" t="s">
        <v>30</v>
      </c>
      <c r="B38" s="50" t="s">
        <v>92</v>
      </c>
      <c r="C38" s="88">
        <f t="shared" ref="C38:C45" si="2">IF(B38="Да, содержится",2,0)</f>
        <v>2</v>
      </c>
      <c r="D38" s="140" t="s">
        <v>121</v>
      </c>
      <c r="E38" s="140" t="s">
        <v>121</v>
      </c>
      <c r="F38" s="47">
        <f>'1.2'!F38</f>
        <v>140</v>
      </c>
      <c r="G38" s="49">
        <f>'1.1'!H38</f>
        <v>44907</v>
      </c>
      <c r="H38" s="174" t="s">
        <v>152</v>
      </c>
      <c r="I38" s="50" t="s">
        <v>111</v>
      </c>
    </row>
    <row r="39" spans="1:9" ht="16" customHeight="1">
      <c r="A39" s="107" t="s">
        <v>31</v>
      </c>
      <c r="B39" s="50" t="s">
        <v>92</v>
      </c>
      <c r="C39" s="88">
        <f t="shared" si="2"/>
        <v>2</v>
      </c>
      <c r="D39" s="140" t="s">
        <v>121</v>
      </c>
      <c r="E39" s="140" t="s">
        <v>121</v>
      </c>
      <c r="F39" s="47" t="str">
        <f>'1.2'!F39</f>
        <v>263-VI-З</v>
      </c>
      <c r="G39" s="49">
        <f>'1.1'!H39</f>
        <v>44910</v>
      </c>
      <c r="H39" s="174">
        <v>6</v>
      </c>
      <c r="I39" s="50" t="s">
        <v>111</v>
      </c>
    </row>
    <row r="40" spans="1:9" ht="16" customHeight="1">
      <c r="A40" s="107" t="s">
        <v>87</v>
      </c>
      <c r="B40" s="50" t="s">
        <v>92</v>
      </c>
      <c r="C40" s="88">
        <f t="shared" si="2"/>
        <v>2</v>
      </c>
      <c r="D40" s="140" t="s">
        <v>121</v>
      </c>
      <c r="E40" s="140" t="s">
        <v>121</v>
      </c>
      <c r="F40" s="47" t="str">
        <f>'1.2'!F40</f>
        <v>355-ЗРК/2022</v>
      </c>
      <c r="G40" s="49">
        <f>'1.1'!H40</f>
        <v>44910</v>
      </c>
      <c r="H40" s="174" t="s">
        <v>164</v>
      </c>
      <c r="I40" s="50" t="s">
        <v>111</v>
      </c>
    </row>
    <row r="41" spans="1:9" ht="16" customHeight="1">
      <c r="A41" s="107" t="s">
        <v>32</v>
      </c>
      <c r="B41" s="50" t="s">
        <v>92</v>
      </c>
      <c r="C41" s="88">
        <f t="shared" si="2"/>
        <v>2</v>
      </c>
      <c r="D41" s="140" t="s">
        <v>121</v>
      </c>
      <c r="E41" s="140" t="s">
        <v>121</v>
      </c>
      <c r="F41" s="47" t="str">
        <f>'1.2'!F41</f>
        <v>4825-КЗ</v>
      </c>
      <c r="G41" s="49">
        <f>'1.1'!H41</f>
        <v>44918</v>
      </c>
      <c r="H41" s="174">
        <v>6</v>
      </c>
      <c r="I41" s="50" t="s">
        <v>111</v>
      </c>
    </row>
    <row r="42" spans="1:9" ht="16" customHeight="1">
      <c r="A42" s="107" t="s">
        <v>33</v>
      </c>
      <c r="B42" s="50" t="s">
        <v>92</v>
      </c>
      <c r="C42" s="88">
        <f t="shared" si="2"/>
        <v>2</v>
      </c>
      <c r="D42" s="140" t="s">
        <v>121</v>
      </c>
      <c r="E42" s="140" t="s">
        <v>121</v>
      </c>
      <c r="F42" s="47" t="str">
        <f>'1.2'!F42</f>
        <v>93/2022-ОЗ</v>
      </c>
      <c r="G42" s="49">
        <f>'1.1'!H42</f>
        <v>44910</v>
      </c>
      <c r="H42" s="174" t="s">
        <v>152</v>
      </c>
      <c r="I42" s="50" t="s">
        <v>111</v>
      </c>
    </row>
    <row r="43" spans="1:9" ht="16" customHeight="1">
      <c r="A43" s="107" t="s">
        <v>34</v>
      </c>
      <c r="B43" s="50" t="s">
        <v>92</v>
      </c>
      <c r="C43" s="88">
        <f t="shared" si="2"/>
        <v>2</v>
      </c>
      <c r="D43" s="140" t="s">
        <v>121</v>
      </c>
      <c r="E43" s="140" t="s">
        <v>121</v>
      </c>
      <c r="F43" s="47" t="str">
        <f>'1.2'!F43</f>
        <v>122-ОД</v>
      </c>
      <c r="G43" s="49">
        <f>'1.1'!H43</f>
        <v>44900</v>
      </c>
      <c r="H43" s="174">
        <v>6</v>
      </c>
      <c r="I43" s="50" t="s">
        <v>111</v>
      </c>
    </row>
    <row r="44" spans="1:9" ht="16" customHeight="1">
      <c r="A44" s="107" t="s">
        <v>35</v>
      </c>
      <c r="B44" s="50" t="s">
        <v>92</v>
      </c>
      <c r="C44" s="88">
        <f t="shared" si="2"/>
        <v>2</v>
      </c>
      <c r="D44" s="140" t="s">
        <v>121</v>
      </c>
      <c r="E44" s="140" t="s">
        <v>121</v>
      </c>
      <c r="F44" s="47" t="str">
        <f>'1.2'!F44</f>
        <v>795-ЗС</v>
      </c>
      <c r="G44" s="49">
        <f>'1.1'!H44</f>
        <v>44911</v>
      </c>
      <c r="H44" s="174">
        <v>6</v>
      </c>
      <c r="I44" s="50" t="s">
        <v>111</v>
      </c>
    </row>
    <row r="45" spans="1:9" ht="16" customHeight="1">
      <c r="A45" s="107" t="s">
        <v>222</v>
      </c>
      <c r="B45" s="50" t="s">
        <v>92</v>
      </c>
      <c r="C45" s="88">
        <f t="shared" si="2"/>
        <v>2</v>
      </c>
      <c r="D45" s="140" t="s">
        <v>121</v>
      </c>
      <c r="E45" s="140" t="s">
        <v>121</v>
      </c>
      <c r="F45" s="47" t="str">
        <f>'1.2'!F45</f>
        <v>728-ЗС</v>
      </c>
      <c r="G45" s="49">
        <f>'1.1'!H45</f>
        <v>44915</v>
      </c>
      <c r="H45" s="174" t="s">
        <v>142</v>
      </c>
      <c r="I45" s="50" t="s">
        <v>111</v>
      </c>
    </row>
    <row r="46" spans="1:9" ht="16" customHeight="1">
      <c r="A46" s="120" t="s">
        <v>36</v>
      </c>
      <c r="B46" s="85"/>
      <c r="C46" s="43"/>
      <c r="D46" s="226"/>
      <c r="E46" s="226"/>
      <c r="F46" s="226"/>
      <c r="G46" s="44"/>
      <c r="H46" s="42"/>
      <c r="I46" s="89"/>
    </row>
    <row r="47" spans="1:9" ht="16" customHeight="1">
      <c r="A47" s="107" t="s">
        <v>37</v>
      </c>
      <c r="B47" s="50" t="s">
        <v>92</v>
      </c>
      <c r="C47" s="88">
        <f t="shared" ref="C47:C53" si="3">IF(B47="Да, содержится",2,0)</f>
        <v>2</v>
      </c>
      <c r="D47" s="140" t="s">
        <v>121</v>
      </c>
      <c r="E47" s="140" t="s">
        <v>121</v>
      </c>
      <c r="F47" s="47">
        <f>'1.2'!F47</f>
        <v>95</v>
      </c>
      <c r="G47" s="49">
        <f>'1.1'!H47</f>
        <v>44907</v>
      </c>
      <c r="H47" s="174" t="s">
        <v>151</v>
      </c>
      <c r="I47" s="50" t="s">
        <v>111</v>
      </c>
    </row>
    <row r="48" spans="1:9" ht="16" customHeight="1">
      <c r="A48" s="107" t="s">
        <v>38</v>
      </c>
      <c r="B48" s="50" t="s">
        <v>92</v>
      </c>
      <c r="C48" s="88">
        <f t="shared" si="3"/>
        <v>2</v>
      </c>
      <c r="D48" s="140" t="s">
        <v>121</v>
      </c>
      <c r="E48" s="140" t="s">
        <v>121</v>
      </c>
      <c r="F48" s="47" t="str">
        <f>'1.2'!F48</f>
        <v>71-РЗ</v>
      </c>
      <c r="G48" s="49">
        <f>'1.1'!H48</f>
        <v>44922</v>
      </c>
      <c r="H48" s="174" t="s">
        <v>157</v>
      </c>
      <c r="I48" s="50" t="s">
        <v>111</v>
      </c>
    </row>
    <row r="49" spans="1:116" ht="16" customHeight="1">
      <c r="A49" s="107" t="s">
        <v>39</v>
      </c>
      <c r="B49" s="50" t="s">
        <v>92</v>
      </c>
      <c r="C49" s="88">
        <f t="shared" si="3"/>
        <v>2</v>
      </c>
      <c r="D49" s="140" t="s">
        <v>121</v>
      </c>
      <c r="E49" s="140" t="s">
        <v>121</v>
      </c>
      <c r="F49" s="47" t="str">
        <f>'1.2'!F49</f>
        <v>63-РЗ</v>
      </c>
      <c r="G49" s="49">
        <f>'1.1'!H49</f>
        <v>44924</v>
      </c>
      <c r="H49" s="174">
        <v>10</v>
      </c>
      <c r="I49" s="50" t="s">
        <v>111</v>
      </c>
    </row>
    <row r="50" spans="1:116" ht="16" customHeight="1">
      <c r="A50" s="107" t="s">
        <v>40</v>
      </c>
      <c r="B50" s="50" t="s">
        <v>92</v>
      </c>
      <c r="C50" s="88">
        <f t="shared" si="3"/>
        <v>2</v>
      </c>
      <c r="D50" s="140" t="s">
        <v>121</v>
      </c>
      <c r="E50" s="140" t="s">
        <v>121</v>
      </c>
      <c r="F50" s="47" t="str">
        <f>'1.2'!F50</f>
        <v>98-РЗ</v>
      </c>
      <c r="G50" s="49">
        <f>'1.1'!H50</f>
        <v>44924</v>
      </c>
      <c r="H50" s="174">
        <v>7</v>
      </c>
      <c r="I50" s="50" t="s">
        <v>111</v>
      </c>
    </row>
    <row r="51" spans="1:116" ht="16" customHeight="1">
      <c r="A51" s="107" t="s">
        <v>547</v>
      </c>
      <c r="B51" s="50" t="s">
        <v>92</v>
      </c>
      <c r="C51" s="88">
        <f t="shared" si="3"/>
        <v>2</v>
      </c>
      <c r="D51" s="140" t="s">
        <v>121</v>
      </c>
      <c r="E51" s="140" t="s">
        <v>121</v>
      </c>
      <c r="F51" s="47" t="str">
        <f>'1.2'!F51</f>
        <v>88-РЗ</v>
      </c>
      <c r="G51" s="49">
        <f>'1.1'!H51</f>
        <v>44921</v>
      </c>
      <c r="H51" s="174">
        <v>7</v>
      </c>
      <c r="I51" s="50" t="s">
        <v>111</v>
      </c>
    </row>
    <row r="52" spans="1:116" ht="16" customHeight="1">
      <c r="A52" s="107" t="s">
        <v>41</v>
      </c>
      <c r="B52" s="50" t="s">
        <v>92</v>
      </c>
      <c r="C52" s="88">
        <f t="shared" si="3"/>
        <v>2</v>
      </c>
      <c r="D52" s="140" t="s">
        <v>121</v>
      </c>
      <c r="E52" s="140" t="s">
        <v>121</v>
      </c>
      <c r="F52" s="47" t="str">
        <f>'1.2'!F52</f>
        <v>75-РЗ</v>
      </c>
      <c r="G52" s="49">
        <f>'1.1'!H52</f>
        <v>44922</v>
      </c>
      <c r="H52" s="174" t="s">
        <v>158</v>
      </c>
      <c r="I52" s="50" t="s">
        <v>111</v>
      </c>
    </row>
    <row r="53" spans="1:116" ht="16" customHeight="1">
      <c r="A53" s="107" t="s">
        <v>42</v>
      </c>
      <c r="B53" s="50" t="s">
        <v>92</v>
      </c>
      <c r="C53" s="88">
        <f t="shared" si="3"/>
        <v>2</v>
      </c>
      <c r="D53" s="140" t="s">
        <v>121</v>
      </c>
      <c r="E53" s="140" t="s">
        <v>121</v>
      </c>
      <c r="F53" s="47" t="str">
        <f>'1.2'!F53</f>
        <v>110-кз</v>
      </c>
      <c r="G53" s="49">
        <f>'1.1'!H53</f>
        <v>44904</v>
      </c>
      <c r="H53" s="47">
        <v>8</v>
      </c>
      <c r="I53" s="50" t="s">
        <v>111</v>
      </c>
    </row>
    <row r="54" spans="1:116" ht="16" customHeight="1">
      <c r="A54" s="120" t="s">
        <v>43</v>
      </c>
      <c r="B54" s="85"/>
      <c r="C54" s="43"/>
      <c r="D54" s="226"/>
      <c r="E54" s="226"/>
      <c r="F54" s="226"/>
      <c r="G54" s="44"/>
      <c r="H54" s="42"/>
      <c r="I54" s="89"/>
    </row>
    <row r="55" spans="1:116" ht="16" customHeight="1">
      <c r="A55" s="107" t="s">
        <v>44</v>
      </c>
      <c r="B55" s="50" t="s">
        <v>92</v>
      </c>
      <c r="C55" s="88">
        <f t="shared" ref="C55:C61" si="4">IF(B55="Да, содержится",2,0)</f>
        <v>2</v>
      </c>
      <c r="D55" s="140" t="s">
        <v>121</v>
      </c>
      <c r="E55" s="140" t="s">
        <v>121</v>
      </c>
      <c r="F55" s="47" t="str">
        <f>'1.2'!F55</f>
        <v>651-з</v>
      </c>
      <c r="G55" s="49">
        <f>'1.1'!H55</f>
        <v>44914</v>
      </c>
      <c r="H55" s="174">
        <v>7</v>
      </c>
      <c r="I55" s="50" t="s">
        <v>111</v>
      </c>
    </row>
    <row r="56" spans="1:116" s="31" customFormat="1" ht="16" customHeight="1">
      <c r="A56" s="107" t="s">
        <v>548</v>
      </c>
      <c r="B56" s="50" t="s">
        <v>92</v>
      </c>
      <c r="C56" s="88">
        <f t="shared" si="4"/>
        <v>2</v>
      </c>
      <c r="D56" s="140" t="s">
        <v>121</v>
      </c>
      <c r="E56" s="140" t="s">
        <v>121</v>
      </c>
      <c r="F56" s="47" t="str">
        <f>'1.2'!F56</f>
        <v xml:space="preserve">46-З </v>
      </c>
      <c r="G56" s="49">
        <f>'1.1'!H56</f>
        <v>44900</v>
      </c>
      <c r="H56" s="174">
        <v>6</v>
      </c>
      <c r="I56" s="50" t="s">
        <v>111</v>
      </c>
      <c r="J56" s="7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row>
    <row r="57" spans="1:116" s="31" customFormat="1" ht="16" customHeight="1">
      <c r="A57" s="107" t="s">
        <v>45</v>
      </c>
      <c r="B57" s="50" t="s">
        <v>92</v>
      </c>
      <c r="C57" s="88">
        <f t="shared" si="4"/>
        <v>2</v>
      </c>
      <c r="D57" s="140" t="s">
        <v>121</v>
      </c>
      <c r="E57" s="140" t="s">
        <v>121</v>
      </c>
      <c r="F57" s="47" t="str">
        <f>'1.2'!F57</f>
        <v>90-З</v>
      </c>
      <c r="G57" s="49">
        <f>'1.1'!H57</f>
        <v>44923</v>
      </c>
      <c r="H57" s="174">
        <v>4</v>
      </c>
      <c r="I57" s="50" t="s">
        <v>111</v>
      </c>
      <c r="J57" s="7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row>
    <row r="58" spans="1:116" s="31" customFormat="1" ht="16" customHeight="1">
      <c r="A58" s="107" t="s">
        <v>46</v>
      </c>
      <c r="B58" s="50" t="s">
        <v>92</v>
      </c>
      <c r="C58" s="88">
        <f t="shared" si="4"/>
        <v>2</v>
      </c>
      <c r="D58" s="140" t="s">
        <v>121</v>
      </c>
      <c r="E58" s="140" t="s">
        <v>121</v>
      </c>
      <c r="F58" s="47" t="str">
        <f>'1.2'!F58</f>
        <v>82-ЗРТ</v>
      </c>
      <c r="G58" s="49">
        <f>'1.1'!H58</f>
        <v>44888</v>
      </c>
      <c r="H58" s="174">
        <v>7</v>
      </c>
      <c r="I58" s="50" t="s">
        <v>111</v>
      </c>
      <c r="J58" s="7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row>
    <row r="59" spans="1:116" ht="16" customHeight="1">
      <c r="A59" s="107" t="s">
        <v>47</v>
      </c>
      <c r="B59" s="50" t="s">
        <v>92</v>
      </c>
      <c r="C59" s="88">
        <f t="shared" si="4"/>
        <v>2</v>
      </c>
      <c r="D59" s="140" t="s">
        <v>121</v>
      </c>
      <c r="E59" s="140" t="s">
        <v>121</v>
      </c>
      <c r="F59" s="47" t="str">
        <f>'1.2'!F59</f>
        <v>83-РЗ</v>
      </c>
      <c r="G59" s="49">
        <f>'1.1'!H59</f>
        <v>44921</v>
      </c>
      <c r="H59" s="174">
        <v>8</v>
      </c>
      <c r="I59" s="50" t="s">
        <v>111</v>
      </c>
    </row>
    <row r="60" spans="1:116" ht="16" customHeight="1">
      <c r="A60" s="107" t="s">
        <v>549</v>
      </c>
      <c r="B60" s="50" t="s">
        <v>92</v>
      </c>
      <c r="C60" s="88">
        <f t="shared" si="4"/>
        <v>2</v>
      </c>
      <c r="D60" s="140" t="s">
        <v>121</v>
      </c>
      <c r="E60" s="140" t="s">
        <v>121</v>
      </c>
      <c r="F60" s="47">
        <f>'1.2'!F60</f>
        <v>110</v>
      </c>
      <c r="G60" s="49">
        <f>'1.1'!H60</f>
        <v>44894</v>
      </c>
      <c r="H60" s="174">
        <v>5</v>
      </c>
      <c r="I60" s="50" t="s">
        <v>111</v>
      </c>
    </row>
    <row r="61" spans="1:116" s="31" customFormat="1" ht="16" customHeight="1">
      <c r="A61" s="107" t="s">
        <v>48</v>
      </c>
      <c r="B61" s="50" t="s">
        <v>101</v>
      </c>
      <c r="C61" s="88">
        <f t="shared" si="4"/>
        <v>0</v>
      </c>
      <c r="D61" s="140" t="s">
        <v>122</v>
      </c>
      <c r="E61" s="140" t="s">
        <v>122</v>
      </c>
      <c r="F61" s="47" t="str">
        <f>'1.2'!F61</f>
        <v>131-ПК</v>
      </c>
      <c r="G61" s="49">
        <f>'1.1'!H61</f>
        <v>44895</v>
      </c>
      <c r="H61" s="174" t="s">
        <v>122</v>
      </c>
      <c r="I61" s="50" t="s">
        <v>665</v>
      </c>
      <c r="J61" s="7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row>
    <row r="62" spans="1:116" s="31" customFormat="1" ht="16" customHeight="1">
      <c r="A62" s="107" t="s">
        <v>49</v>
      </c>
      <c r="B62" s="50" t="s">
        <v>92</v>
      </c>
      <c r="C62" s="88">
        <f t="shared" ref="C62:C68" si="5">IF(B62="Да, содержится",2,0)</f>
        <v>2</v>
      </c>
      <c r="D62" s="140" t="s">
        <v>121</v>
      </c>
      <c r="E62" s="140" t="s">
        <v>121</v>
      </c>
      <c r="F62" s="47" t="str">
        <f>'1.2'!F62</f>
        <v>149-ЗО</v>
      </c>
      <c r="G62" s="49">
        <f>'1.1'!H62</f>
        <v>44914</v>
      </c>
      <c r="H62" s="174" t="s">
        <v>158</v>
      </c>
      <c r="I62" s="50" t="s">
        <v>111</v>
      </c>
      <c r="J62" s="7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row>
    <row r="63" spans="1:116" s="31" customFormat="1" ht="16" customHeight="1">
      <c r="A63" s="107" t="s">
        <v>550</v>
      </c>
      <c r="B63" s="50" t="s">
        <v>92</v>
      </c>
      <c r="C63" s="88">
        <f t="shared" si="5"/>
        <v>2</v>
      </c>
      <c r="D63" s="140" t="s">
        <v>121</v>
      </c>
      <c r="E63" s="140" t="s">
        <v>121</v>
      </c>
      <c r="F63" s="47" t="str">
        <f>'1.2'!F63</f>
        <v>197-З</v>
      </c>
      <c r="G63" s="49">
        <f>'1.1'!H63</f>
        <v>44915</v>
      </c>
      <c r="H63" s="174">
        <v>8</v>
      </c>
      <c r="I63" s="50" t="s">
        <v>111</v>
      </c>
      <c r="J63" s="7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row>
    <row r="64" spans="1:116" s="31" customFormat="1" ht="16" customHeight="1">
      <c r="A64" s="107" t="s">
        <v>50</v>
      </c>
      <c r="B64" s="50" t="s">
        <v>92</v>
      </c>
      <c r="C64" s="88">
        <f t="shared" si="5"/>
        <v>2</v>
      </c>
      <c r="D64" s="140" t="s">
        <v>121</v>
      </c>
      <c r="E64" s="140" t="s">
        <v>121</v>
      </c>
      <c r="F64" s="47" t="str">
        <f>'1.2'!F64</f>
        <v>636/237-VII-ОЗ</v>
      </c>
      <c r="G64" s="49">
        <f>'1.1'!H64</f>
        <v>44910</v>
      </c>
      <c r="H64" s="174">
        <v>2</v>
      </c>
      <c r="I64" s="50" t="s">
        <v>111</v>
      </c>
      <c r="J64" s="7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row>
    <row r="65" spans="1:116" ht="16" customHeight="1">
      <c r="A65" s="107" t="s">
        <v>51</v>
      </c>
      <c r="B65" s="50" t="s">
        <v>92</v>
      </c>
      <c r="C65" s="88">
        <f t="shared" si="5"/>
        <v>2</v>
      </c>
      <c r="D65" s="140" t="s">
        <v>121</v>
      </c>
      <c r="E65" s="140" t="s">
        <v>121</v>
      </c>
      <c r="F65" s="47" t="str">
        <f>'1.2'!F65</f>
        <v>3935-ЗПО</v>
      </c>
      <c r="G65" s="49">
        <f>'1.1'!H65</f>
        <v>44911</v>
      </c>
      <c r="H65" s="174">
        <v>6</v>
      </c>
      <c r="I65" s="50" t="s">
        <v>111</v>
      </c>
    </row>
    <row r="66" spans="1:116" s="31" customFormat="1" ht="16" customHeight="1">
      <c r="A66" s="107" t="s">
        <v>52</v>
      </c>
      <c r="B66" s="50" t="s">
        <v>101</v>
      </c>
      <c r="C66" s="88">
        <f t="shared" si="5"/>
        <v>0</v>
      </c>
      <c r="D66" s="140" t="s">
        <v>122</v>
      </c>
      <c r="E66" s="140" t="s">
        <v>122</v>
      </c>
      <c r="F66" s="47" t="str">
        <f>'1.2'!F66</f>
        <v>118-ГД</v>
      </c>
      <c r="G66" s="49">
        <f>'1.1'!H66</f>
        <v>44895</v>
      </c>
      <c r="H66" s="174" t="s">
        <v>122</v>
      </c>
      <c r="I66" s="50" t="s">
        <v>665</v>
      </c>
      <c r="J66" s="7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row>
    <row r="67" spans="1:116" s="31" customFormat="1" ht="16" customHeight="1">
      <c r="A67" s="107" t="s">
        <v>53</v>
      </c>
      <c r="B67" s="50" t="s">
        <v>92</v>
      </c>
      <c r="C67" s="88">
        <f t="shared" si="5"/>
        <v>2</v>
      </c>
      <c r="D67" s="140" t="s">
        <v>121</v>
      </c>
      <c r="E67" s="140" t="s">
        <v>121</v>
      </c>
      <c r="F67" s="47" t="str">
        <f>'1.2'!F67</f>
        <v>151-ЗСО</v>
      </c>
      <c r="G67" s="49">
        <f>'1.1'!H67</f>
        <v>44895</v>
      </c>
      <c r="H67" s="174">
        <v>4</v>
      </c>
      <c r="I67" s="50" t="s">
        <v>111</v>
      </c>
      <c r="J67" s="7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row>
    <row r="68" spans="1:116" ht="16" customHeight="1">
      <c r="A68" s="107" t="s">
        <v>54</v>
      </c>
      <c r="B68" s="50" t="s">
        <v>92</v>
      </c>
      <c r="C68" s="88">
        <f t="shared" si="5"/>
        <v>2</v>
      </c>
      <c r="D68" s="140" t="s">
        <v>121</v>
      </c>
      <c r="E68" s="140" t="s">
        <v>121</v>
      </c>
      <c r="F68" s="47" t="str">
        <f>'1.2'!F68</f>
        <v>119-ЗО</v>
      </c>
      <c r="G68" s="49">
        <f>'1.1'!H68</f>
        <v>44903</v>
      </c>
      <c r="H68" s="174">
        <v>5</v>
      </c>
      <c r="I68" s="50" t="s">
        <v>111</v>
      </c>
    </row>
    <row r="69" spans="1:116" ht="16" customHeight="1">
      <c r="A69" s="120" t="s">
        <v>55</v>
      </c>
      <c r="B69" s="85"/>
      <c r="C69" s="43"/>
      <c r="D69" s="226"/>
      <c r="E69" s="226"/>
      <c r="F69" s="226"/>
      <c r="G69" s="44"/>
      <c r="H69" s="42"/>
      <c r="I69" s="89"/>
    </row>
    <row r="70" spans="1:116" s="31" customFormat="1" ht="16" customHeight="1">
      <c r="A70" s="107" t="s">
        <v>56</v>
      </c>
      <c r="B70" s="50" t="s">
        <v>92</v>
      </c>
      <c r="C70" s="88">
        <f t="shared" ref="C70:C75" si="6">IF(B70="Да, содержится",2,0)</f>
        <v>2</v>
      </c>
      <c r="D70" s="140" t="s">
        <v>121</v>
      </c>
      <c r="E70" s="140" t="s">
        <v>121</v>
      </c>
      <c r="F70" s="47">
        <f>'1.2'!F70</f>
        <v>101</v>
      </c>
      <c r="G70" s="49">
        <f>'1.1'!H70</f>
        <v>44923</v>
      </c>
      <c r="H70" s="174">
        <v>6</v>
      </c>
      <c r="I70" s="50" t="s">
        <v>111</v>
      </c>
      <c r="J70" s="7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row>
    <row r="71" spans="1:116" ht="16" customHeight="1">
      <c r="A71" s="107" t="s">
        <v>57</v>
      </c>
      <c r="B71" s="50" t="s">
        <v>92</v>
      </c>
      <c r="C71" s="88">
        <f t="shared" si="6"/>
        <v>2</v>
      </c>
      <c r="D71" s="140" t="s">
        <v>121</v>
      </c>
      <c r="E71" s="140" t="s">
        <v>121</v>
      </c>
      <c r="F71" s="47" t="str">
        <f>'1.2'!F71</f>
        <v>137-ОЗ</v>
      </c>
      <c r="G71" s="49">
        <f>'1.1'!H71</f>
        <v>44902</v>
      </c>
      <c r="H71" s="174">
        <v>5</v>
      </c>
      <c r="I71" s="50" t="s">
        <v>111</v>
      </c>
    </row>
    <row r="72" spans="1:116" ht="16" customHeight="1">
      <c r="A72" s="107" t="s">
        <v>58</v>
      </c>
      <c r="B72" s="50" t="s">
        <v>92</v>
      </c>
      <c r="C72" s="88">
        <f t="shared" si="6"/>
        <v>2</v>
      </c>
      <c r="D72" s="140" t="s">
        <v>121</v>
      </c>
      <c r="E72" s="140" t="s">
        <v>121</v>
      </c>
      <c r="F72" s="47">
        <f>'1.2'!F72</f>
        <v>77</v>
      </c>
      <c r="G72" s="49">
        <f>'1.1'!H72</f>
        <v>44896</v>
      </c>
      <c r="H72" s="174" t="s">
        <v>151</v>
      </c>
      <c r="I72" s="50" t="s">
        <v>111</v>
      </c>
    </row>
    <row r="73" spans="1:116" s="31" customFormat="1" ht="16" customHeight="1">
      <c r="A73" s="107" t="s">
        <v>59</v>
      </c>
      <c r="B73" s="50" t="s">
        <v>92</v>
      </c>
      <c r="C73" s="88">
        <f t="shared" si="6"/>
        <v>2</v>
      </c>
      <c r="D73" s="140" t="s">
        <v>121</v>
      </c>
      <c r="E73" s="140" t="s">
        <v>121</v>
      </c>
      <c r="F73" s="47" t="str">
        <f>'1.2'!F73</f>
        <v>727-ЗО</v>
      </c>
      <c r="G73" s="49">
        <f>'1.1'!H73</f>
        <v>44922</v>
      </c>
      <c r="H73" s="174">
        <v>7</v>
      </c>
      <c r="I73" s="50" t="s">
        <v>111</v>
      </c>
      <c r="J73" s="7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row>
    <row r="74" spans="1:116" s="31" customFormat="1" ht="16" customHeight="1">
      <c r="A74" s="107" t="s">
        <v>551</v>
      </c>
      <c r="B74" s="50" t="s">
        <v>92</v>
      </c>
      <c r="C74" s="88">
        <f t="shared" si="6"/>
        <v>2</v>
      </c>
      <c r="D74" s="140" t="s">
        <v>121</v>
      </c>
      <c r="E74" s="140" t="s">
        <v>121</v>
      </c>
      <c r="F74" s="47" t="str">
        <f>'1.2'!F74</f>
        <v>132-оз</v>
      </c>
      <c r="G74" s="49">
        <f>'1.1'!H74</f>
        <v>44889</v>
      </c>
      <c r="H74" s="174" t="s">
        <v>149</v>
      </c>
      <c r="I74" s="50" t="s">
        <v>111</v>
      </c>
      <c r="J74" s="7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row>
    <row r="75" spans="1:116" s="31" customFormat="1" ht="16" customHeight="1">
      <c r="A75" s="107" t="s">
        <v>60</v>
      </c>
      <c r="B75" s="50" t="s">
        <v>92</v>
      </c>
      <c r="C75" s="88">
        <f t="shared" si="6"/>
        <v>2</v>
      </c>
      <c r="D75" s="140" t="s">
        <v>121</v>
      </c>
      <c r="E75" s="140" t="s">
        <v>121</v>
      </c>
      <c r="F75" s="47" t="str">
        <f>'1.2'!F75</f>
        <v>101-ЗАО</v>
      </c>
      <c r="G75" s="49">
        <f>'1.1'!H75</f>
        <v>44889</v>
      </c>
      <c r="H75" s="174">
        <v>9</v>
      </c>
      <c r="I75" s="50" t="s">
        <v>111</v>
      </c>
      <c r="J75" s="7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row>
    <row r="76" spans="1:116" ht="16" customHeight="1">
      <c r="A76" s="120" t="s">
        <v>61</v>
      </c>
      <c r="B76" s="85"/>
      <c r="C76" s="43"/>
      <c r="D76" s="226"/>
      <c r="E76" s="226"/>
      <c r="F76" s="226"/>
      <c r="G76" s="44"/>
      <c r="H76" s="42"/>
      <c r="I76" s="89"/>
    </row>
    <row r="77" spans="1:116" s="31" customFormat="1" ht="16" customHeight="1">
      <c r="A77" s="107" t="s">
        <v>62</v>
      </c>
      <c r="B77" s="50" t="s">
        <v>92</v>
      </c>
      <c r="C77" s="88">
        <f t="shared" ref="C77:C86" si="7">IF(B77="Да, содержится",2,0)</f>
        <v>2</v>
      </c>
      <c r="D77" s="140" t="s">
        <v>121</v>
      </c>
      <c r="E77" s="140" t="s">
        <v>121</v>
      </c>
      <c r="F77" s="47" t="str">
        <f>'1.2'!F77</f>
        <v>93-РЗ</v>
      </c>
      <c r="G77" s="49">
        <f>'1.1'!H77</f>
        <v>44915</v>
      </c>
      <c r="H77" s="174">
        <v>15</v>
      </c>
      <c r="I77" s="50" t="s">
        <v>111</v>
      </c>
      <c r="J77" s="7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row>
    <row r="78" spans="1:116" s="31" customFormat="1" ht="16" customHeight="1">
      <c r="A78" s="107" t="s">
        <v>64</v>
      </c>
      <c r="B78" s="50" t="s">
        <v>92</v>
      </c>
      <c r="C78" s="88">
        <f t="shared" si="7"/>
        <v>2</v>
      </c>
      <c r="D78" s="140" t="s">
        <v>121</v>
      </c>
      <c r="E78" s="140" t="s">
        <v>121</v>
      </c>
      <c r="F78" s="47" t="str">
        <f>'1.2'!F78</f>
        <v>887-ЗРТ</v>
      </c>
      <c r="G78" s="49">
        <f>'1.1'!H78</f>
        <v>44910</v>
      </c>
      <c r="H78" s="174" t="s">
        <v>152</v>
      </c>
      <c r="I78" s="50" t="s">
        <v>111</v>
      </c>
      <c r="J78" s="7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row>
    <row r="79" spans="1:116" s="31" customFormat="1" ht="16" customHeight="1">
      <c r="A79" s="107" t="s">
        <v>65</v>
      </c>
      <c r="B79" s="50" t="s">
        <v>92</v>
      </c>
      <c r="C79" s="88">
        <f t="shared" si="7"/>
        <v>2</v>
      </c>
      <c r="D79" s="140" t="s">
        <v>121</v>
      </c>
      <c r="E79" s="140" t="s">
        <v>121</v>
      </c>
      <c r="F79" s="47" t="str">
        <f>'1.2'!F79</f>
        <v>110-ЗРХ</v>
      </c>
      <c r="G79" s="49">
        <f>'1.1'!H79</f>
        <v>44914</v>
      </c>
      <c r="H79" s="174" t="s">
        <v>151</v>
      </c>
      <c r="I79" s="50" t="s">
        <v>111</v>
      </c>
      <c r="J79" s="71"/>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row>
    <row r="80" spans="1:116" ht="16" customHeight="1">
      <c r="A80" s="107" t="s">
        <v>66</v>
      </c>
      <c r="B80" s="50" t="s">
        <v>92</v>
      </c>
      <c r="C80" s="88">
        <f t="shared" si="7"/>
        <v>2</v>
      </c>
      <c r="D80" s="140" t="s">
        <v>121</v>
      </c>
      <c r="E80" s="140" t="s">
        <v>121</v>
      </c>
      <c r="F80" s="47" t="str">
        <f>'1.2'!F80</f>
        <v>110-ЗС</v>
      </c>
      <c r="G80" s="49">
        <f>'1.1'!H80</f>
        <v>44895</v>
      </c>
      <c r="H80" s="174" t="s">
        <v>152</v>
      </c>
      <c r="I80" s="50" t="s">
        <v>111</v>
      </c>
    </row>
    <row r="81" spans="1:116" ht="16" customHeight="1">
      <c r="A81" s="107" t="s">
        <v>68</v>
      </c>
      <c r="B81" s="50" t="s">
        <v>92</v>
      </c>
      <c r="C81" s="88">
        <f t="shared" si="7"/>
        <v>2</v>
      </c>
      <c r="D81" s="140" t="s">
        <v>121</v>
      </c>
      <c r="E81" s="140" t="s">
        <v>121</v>
      </c>
      <c r="F81" s="47" t="str">
        <f>'1.2'!F81</f>
        <v>4-1351</v>
      </c>
      <c r="G81" s="49">
        <f>'1.1'!H81</f>
        <v>44915</v>
      </c>
      <c r="H81" s="174">
        <v>3</v>
      </c>
      <c r="I81" s="50" t="s">
        <v>111</v>
      </c>
    </row>
    <row r="82" spans="1:116" s="31" customFormat="1" ht="16" customHeight="1">
      <c r="A82" s="107" t="s">
        <v>69</v>
      </c>
      <c r="B82" s="50" t="s">
        <v>92</v>
      </c>
      <c r="C82" s="88">
        <f t="shared" si="7"/>
        <v>2</v>
      </c>
      <c r="D82" s="140" t="s">
        <v>121</v>
      </c>
      <c r="E82" s="140" t="s">
        <v>121</v>
      </c>
      <c r="F82" s="47" t="str">
        <f>'1.2'!F82</f>
        <v>112-ОЗ</v>
      </c>
      <c r="G82" s="49">
        <f>'1.1'!H82</f>
        <v>44907</v>
      </c>
      <c r="H82" s="174" t="s">
        <v>151</v>
      </c>
      <c r="I82" s="50" t="s">
        <v>111</v>
      </c>
      <c r="J82" s="71"/>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row>
    <row r="83" spans="1:116" s="31" customFormat="1" ht="16" customHeight="1">
      <c r="A83" s="107" t="s">
        <v>552</v>
      </c>
      <c r="B83" s="50" t="s">
        <v>92</v>
      </c>
      <c r="C83" s="88">
        <f t="shared" si="7"/>
        <v>2</v>
      </c>
      <c r="D83" s="140" t="s">
        <v>121</v>
      </c>
      <c r="E83" s="140" t="s">
        <v>121</v>
      </c>
      <c r="F83" s="47" t="str">
        <f>'1.2'!F83</f>
        <v>145-ОЗ</v>
      </c>
      <c r="G83" s="49">
        <f>'1.1'!H83</f>
        <v>44910</v>
      </c>
      <c r="H83" s="174">
        <v>7</v>
      </c>
      <c r="I83" s="50" t="s">
        <v>111</v>
      </c>
      <c r="J83" s="71"/>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row>
    <row r="84" spans="1:116" ht="16" customHeight="1">
      <c r="A84" s="107" t="s">
        <v>70</v>
      </c>
      <c r="B84" s="50" t="s">
        <v>92</v>
      </c>
      <c r="C84" s="88">
        <f t="shared" si="7"/>
        <v>2</v>
      </c>
      <c r="D84" s="140" t="s">
        <v>121</v>
      </c>
      <c r="E84" s="140" t="s">
        <v>121</v>
      </c>
      <c r="F84" s="47" t="str">
        <f>'1.2'!F84</f>
        <v>307-ОЗ</v>
      </c>
      <c r="G84" s="49">
        <f>'1.1'!H84</f>
        <v>44918</v>
      </c>
      <c r="H84" s="174">
        <v>4</v>
      </c>
      <c r="I84" s="50" t="s">
        <v>111</v>
      </c>
    </row>
    <row r="85" spans="1:116" ht="16" customHeight="1">
      <c r="A85" s="107" t="s">
        <v>71</v>
      </c>
      <c r="B85" s="50" t="s">
        <v>92</v>
      </c>
      <c r="C85" s="88">
        <f t="shared" si="7"/>
        <v>2</v>
      </c>
      <c r="D85" s="140" t="s">
        <v>121</v>
      </c>
      <c r="E85" s="140" t="s">
        <v>121</v>
      </c>
      <c r="F85" s="47" t="str">
        <f>'1.2'!F85</f>
        <v>2537-ОЗ</v>
      </c>
      <c r="G85" s="49">
        <f>'1.1'!H85</f>
        <v>44917</v>
      </c>
      <c r="H85" s="174">
        <v>6</v>
      </c>
      <c r="I85" s="50" t="s">
        <v>111</v>
      </c>
    </row>
    <row r="86" spans="1:116" s="31" customFormat="1" ht="16" customHeight="1">
      <c r="A86" s="107" t="s">
        <v>72</v>
      </c>
      <c r="B86" s="50" t="s">
        <v>92</v>
      </c>
      <c r="C86" s="88">
        <f t="shared" si="7"/>
        <v>2</v>
      </c>
      <c r="D86" s="140" t="s">
        <v>121</v>
      </c>
      <c r="E86" s="140" t="s">
        <v>121</v>
      </c>
      <c r="F86" s="47" t="str">
        <f>'1.2'!F86</f>
        <v>141-ОЗ</v>
      </c>
      <c r="G86" s="49">
        <f>'1.1'!H86</f>
        <v>44923</v>
      </c>
      <c r="H86" s="174">
        <v>8</v>
      </c>
      <c r="I86" s="50" t="s">
        <v>111</v>
      </c>
      <c r="J86" s="71"/>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row>
    <row r="87" spans="1:116" ht="16" customHeight="1">
      <c r="A87" s="120" t="s">
        <v>73</v>
      </c>
      <c r="B87" s="85"/>
      <c r="C87" s="43"/>
      <c r="D87" s="226"/>
      <c r="E87" s="226"/>
      <c r="F87" s="226"/>
      <c r="G87" s="44"/>
      <c r="H87" s="42"/>
      <c r="I87" s="89"/>
    </row>
    <row r="88" spans="1:116" s="31" customFormat="1" ht="16" customHeight="1">
      <c r="A88" s="107" t="s">
        <v>63</v>
      </c>
      <c r="B88" s="50" t="s">
        <v>92</v>
      </c>
      <c r="C88" s="88">
        <f t="shared" ref="C88:C98" si="8">IF(B88="Да, содержится",2,0)</f>
        <v>2</v>
      </c>
      <c r="D88" s="140" t="s">
        <v>121</v>
      </c>
      <c r="E88" s="140" t="s">
        <v>121</v>
      </c>
      <c r="F88" s="47" t="str">
        <f>'1.2'!F88</f>
        <v>2487-VI</v>
      </c>
      <c r="G88" s="49">
        <f>'1.1'!H88</f>
        <v>44916</v>
      </c>
      <c r="H88" s="174" t="s">
        <v>158</v>
      </c>
      <c r="I88" s="50" t="s">
        <v>111</v>
      </c>
      <c r="J88" s="71"/>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row>
    <row r="89" spans="1:116" s="31" customFormat="1" ht="16" customHeight="1">
      <c r="A89" s="107" t="s">
        <v>74</v>
      </c>
      <c r="B89" s="50" t="s">
        <v>92</v>
      </c>
      <c r="C89" s="88">
        <f t="shared" si="8"/>
        <v>2</v>
      </c>
      <c r="D89" s="140" t="s">
        <v>121</v>
      </c>
      <c r="E89" s="140" t="s">
        <v>121</v>
      </c>
      <c r="F89" s="47" t="str">
        <f>'1.2'!F89</f>
        <v>1015-VI</v>
      </c>
      <c r="G89" s="49">
        <f>'1.1'!H89</f>
        <v>44904</v>
      </c>
      <c r="H89" s="174">
        <v>7</v>
      </c>
      <c r="I89" s="50" t="s">
        <v>111</v>
      </c>
      <c r="J89" s="71"/>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row>
    <row r="90" spans="1:116" s="31" customFormat="1" ht="16" customHeight="1">
      <c r="A90" s="107" t="s">
        <v>67</v>
      </c>
      <c r="B90" s="50" t="s">
        <v>92</v>
      </c>
      <c r="C90" s="88">
        <f t="shared" si="8"/>
        <v>2</v>
      </c>
      <c r="D90" s="140" t="s">
        <v>121</v>
      </c>
      <c r="E90" s="140" t="s">
        <v>121</v>
      </c>
      <c r="F90" s="47" t="str">
        <f>'1.2'!F90</f>
        <v>2134-ЗЗК</v>
      </c>
      <c r="G90" s="49">
        <f>'1.1'!H90</f>
        <v>44917</v>
      </c>
      <c r="H90" s="174" t="s">
        <v>149</v>
      </c>
      <c r="I90" s="50" t="s">
        <v>111</v>
      </c>
      <c r="J90" s="7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row>
    <row r="91" spans="1:116" ht="16" customHeight="1">
      <c r="A91" s="107" t="s">
        <v>75</v>
      </c>
      <c r="B91" s="50" t="s">
        <v>92</v>
      </c>
      <c r="C91" s="88">
        <f t="shared" si="8"/>
        <v>2</v>
      </c>
      <c r="D91" s="140" t="s">
        <v>121</v>
      </c>
      <c r="E91" s="140" t="s">
        <v>121</v>
      </c>
      <c r="F91" s="47">
        <f>'1.2'!F91</f>
        <v>155</v>
      </c>
      <c r="G91" s="49">
        <f>'1.1'!H91</f>
        <v>44894</v>
      </c>
      <c r="H91" s="174" t="s">
        <v>400</v>
      </c>
      <c r="I91" s="50" t="s">
        <v>111</v>
      </c>
    </row>
    <row r="92" spans="1:116" ht="16" customHeight="1">
      <c r="A92" s="107" t="s">
        <v>553</v>
      </c>
      <c r="B92" s="50" t="s">
        <v>92</v>
      </c>
      <c r="C92" s="88">
        <f t="shared" si="8"/>
        <v>2</v>
      </c>
      <c r="D92" s="140" t="s">
        <v>121</v>
      </c>
      <c r="E92" s="140" t="s">
        <v>121</v>
      </c>
      <c r="F92" s="47" t="str">
        <f>'1.2'!F92</f>
        <v>253-КЗ</v>
      </c>
      <c r="G92" s="49">
        <f>'1.1'!H92</f>
        <v>44915</v>
      </c>
      <c r="H92" s="174">
        <v>5</v>
      </c>
      <c r="I92" s="50" t="s">
        <v>111</v>
      </c>
    </row>
    <row r="93" spans="1:116" ht="16" customHeight="1">
      <c r="A93" s="107" t="s">
        <v>76</v>
      </c>
      <c r="B93" s="50" t="s">
        <v>92</v>
      </c>
      <c r="C93" s="88">
        <f t="shared" si="8"/>
        <v>2</v>
      </c>
      <c r="D93" s="140" t="s">
        <v>121</v>
      </c>
      <c r="E93" s="140" t="s">
        <v>121</v>
      </c>
      <c r="F93" s="47">
        <f>'1.2'!F93</f>
        <v>334</v>
      </c>
      <c r="G93" s="49">
        <f>'1.1'!H93</f>
        <v>44886</v>
      </c>
      <c r="H93" s="174">
        <v>7</v>
      </c>
      <c r="I93" s="50" t="s">
        <v>111</v>
      </c>
    </row>
    <row r="94" spans="1:116" s="31" customFormat="1" ht="16" customHeight="1">
      <c r="A94" s="107" t="s">
        <v>77</v>
      </c>
      <c r="B94" s="50" t="s">
        <v>92</v>
      </c>
      <c r="C94" s="88">
        <f t="shared" si="8"/>
        <v>2</v>
      </c>
      <c r="D94" s="140" t="s">
        <v>121</v>
      </c>
      <c r="E94" s="140" t="s">
        <v>121</v>
      </c>
      <c r="F94" s="47" t="str">
        <f>'1.2'!F94</f>
        <v>224-ОЗ</v>
      </c>
      <c r="G94" s="49">
        <f>'1.1'!H94</f>
        <v>44908</v>
      </c>
      <c r="H94" s="174">
        <v>8</v>
      </c>
      <c r="I94" s="50" t="s">
        <v>111</v>
      </c>
      <c r="J94" s="71"/>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row>
    <row r="95" spans="1:116" s="31" customFormat="1" ht="16" customHeight="1">
      <c r="A95" s="107" t="s">
        <v>78</v>
      </c>
      <c r="B95" s="50" t="s">
        <v>92</v>
      </c>
      <c r="C95" s="88">
        <f t="shared" si="8"/>
        <v>2</v>
      </c>
      <c r="D95" s="140" t="s">
        <v>121</v>
      </c>
      <c r="E95" s="140" t="s">
        <v>121</v>
      </c>
      <c r="F95" s="47" t="str">
        <f>'1.2'!F95</f>
        <v>2767-ОЗ</v>
      </c>
      <c r="G95" s="49">
        <f>'1.1'!H95</f>
        <v>44897</v>
      </c>
      <c r="H95" s="174">
        <v>5</v>
      </c>
      <c r="I95" s="50" t="s">
        <v>111</v>
      </c>
      <c r="J95" s="71"/>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row>
    <row r="96" spans="1:116" s="31" customFormat="1" ht="16" customHeight="1">
      <c r="A96" s="107" t="s">
        <v>79</v>
      </c>
      <c r="B96" s="50" t="s">
        <v>92</v>
      </c>
      <c r="C96" s="88">
        <f t="shared" si="8"/>
        <v>2</v>
      </c>
      <c r="D96" s="140" t="s">
        <v>121</v>
      </c>
      <c r="E96" s="140" t="s">
        <v>121</v>
      </c>
      <c r="F96" s="47" t="str">
        <f>'1.2'!F96</f>
        <v>115-ЗО</v>
      </c>
      <c r="G96" s="49">
        <f>'1.1'!H96</f>
        <v>44921</v>
      </c>
      <c r="H96" s="174">
        <v>4</v>
      </c>
      <c r="I96" s="50" t="s">
        <v>111</v>
      </c>
      <c r="J96" s="71"/>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row>
    <row r="97" spans="1:116" s="31" customFormat="1" ht="16" customHeight="1">
      <c r="A97" s="107" t="s">
        <v>80</v>
      </c>
      <c r="B97" s="50" t="s">
        <v>92</v>
      </c>
      <c r="C97" s="88">
        <f t="shared" si="8"/>
        <v>2</v>
      </c>
      <c r="D97" s="140" t="s">
        <v>121</v>
      </c>
      <c r="E97" s="140" t="s">
        <v>121</v>
      </c>
      <c r="F97" s="47" t="str">
        <f>'1.2'!F97</f>
        <v>181-ОЗ</v>
      </c>
      <c r="G97" s="49">
        <f>'1.1'!H97</f>
        <v>44901</v>
      </c>
      <c r="H97" s="174" t="s">
        <v>150</v>
      </c>
      <c r="I97" s="50" t="s">
        <v>111</v>
      </c>
      <c r="J97" s="7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row>
    <row r="98" spans="1:116" s="31" customFormat="1" ht="16" customHeight="1">
      <c r="A98" s="107" t="s">
        <v>81</v>
      </c>
      <c r="B98" s="50" t="s">
        <v>92</v>
      </c>
      <c r="C98" s="88">
        <f t="shared" si="8"/>
        <v>2</v>
      </c>
      <c r="D98" s="140" t="s">
        <v>121</v>
      </c>
      <c r="E98" s="140" t="s">
        <v>121</v>
      </c>
      <c r="F98" s="47" t="str">
        <f>'1.2'!F98</f>
        <v>76-ОЗ</v>
      </c>
      <c r="G98" s="49">
        <f>'1.1'!H98</f>
        <v>44531</v>
      </c>
      <c r="H98" s="174" t="s">
        <v>152</v>
      </c>
      <c r="I98" s="50" t="s">
        <v>111</v>
      </c>
      <c r="J98" s="7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row>
    <row r="107" spans="1:116">
      <c r="A107" s="4"/>
      <c r="B107" s="80"/>
      <c r="C107" s="6"/>
      <c r="D107" s="64"/>
      <c r="E107" s="64"/>
      <c r="G107" s="75"/>
    </row>
    <row r="111" spans="1:116" s="2" customFormat="1">
      <c r="A111" s="4"/>
      <c r="B111" s="80"/>
      <c r="C111" s="6"/>
      <c r="D111" s="64"/>
      <c r="E111" s="64"/>
      <c r="F111" s="73"/>
      <c r="G111" s="75"/>
      <c r="H111" s="14"/>
      <c r="I111" s="32"/>
      <c r="J111" s="7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row>
    <row r="114" spans="1:116" s="2" customFormat="1">
      <c r="A114" s="4"/>
      <c r="B114" s="80"/>
      <c r="C114" s="6"/>
      <c r="D114" s="64"/>
      <c r="E114" s="64"/>
      <c r="F114" s="73"/>
      <c r="G114" s="75"/>
      <c r="H114" s="14"/>
      <c r="I114" s="32"/>
      <c r="J114" s="71"/>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row>
    <row r="118" spans="1:116" s="2" customFormat="1">
      <c r="A118" s="4"/>
      <c r="B118" s="80"/>
      <c r="C118" s="6"/>
      <c r="D118" s="64"/>
      <c r="E118" s="64"/>
      <c r="F118" s="73"/>
      <c r="G118" s="75"/>
      <c r="H118" s="14"/>
      <c r="I118" s="32"/>
      <c r="J118" s="71"/>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row>
    <row r="121" spans="1:116" s="2" customFormat="1" ht="12">
      <c r="A121" s="4"/>
      <c r="B121" s="80"/>
      <c r="C121" s="6"/>
      <c r="D121" s="64"/>
      <c r="E121" s="64"/>
      <c r="F121" s="73"/>
      <c r="G121" s="75"/>
      <c r="H121" s="14"/>
      <c r="I121" s="32"/>
      <c r="J121" s="81"/>
    </row>
    <row r="125" spans="1:116" s="2" customFormat="1" ht="12">
      <c r="A125" s="4"/>
      <c r="B125" s="80"/>
      <c r="C125" s="6"/>
      <c r="D125" s="64"/>
      <c r="E125" s="64"/>
      <c r="F125" s="73"/>
      <c r="G125" s="75"/>
      <c r="H125" s="14"/>
      <c r="I125" s="32"/>
      <c r="J125" s="81"/>
    </row>
  </sheetData>
  <mergeCells count="12">
    <mergeCell ref="A1:I1"/>
    <mergeCell ref="A2:I2"/>
    <mergeCell ref="I3:I5"/>
    <mergeCell ref="E4:E5"/>
    <mergeCell ref="F3:H3"/>
    <mergeCell ref="F4:F5"/>
    <mergeCell ref="G4:G5"/>
    <mergeCell ref="H4:H5"/>
    <mergeCell ref="A3:A5"/>
    <mergeCell ref="C4:C5"/>
    <mergeCell ref="D3:E3"/>
    <mergeCell ref="D4:D5"/>
  </mergeCells>
  <dataValidations count="1">
    <dataValidation type="list" allowBlank="1" showInputMessage="1" showErrorMessage="1" sqref="F6:G6 B6:B98" xr:uid="{00000000-0002-0000-0500-000000000000}">
      <formula1>$B$4:$B$5</formula1>
    </dataValidation>
  </dataValidations>
  <pageMargins left="0.70866141732283472" right="0.70866141732283472" top="0.74803149606299213" bottom="0.74803149606299213" header="0.31496062992125984" footer="0.31496062992125984"/>
  <pageSetup paperSize="9" scale="82" fitToHeight="0" orientation="landscape" r:id="rId1"/>
  <headerFooter>
    <oddFooter>&amp;C&amp;A&amp;R&amp;P</oddFooter>
  </headerFooter>
  <ignoredErrors>
    <ignoredError sqref="H32 H34"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5399"/>
  <sheetViews>
    <sheetView zoomScaleNormal="100" workbookViewId="0">
      <pane ySplit="6" topLeftCell="A7" activePane="bottomLeft" state="frozen"/>
      <selection activeCell="G1" sqref="G1"/>
      <selection pane="bottomLeft"/>
    </sheetView>
  </sheetViews>
  <sheetFormatPr baseColWidth="10" defaultColWidth="9.1640625" defaultRowHeight="15"/>
  <cols>
    <col min="1" max="1" width="24.83203125" style="3" customWidth="1"/>
    <col min="2" max="2" width="38.6640625" style="3" customWidth="1"/>
    <col min="3" max="3" width="5.5" style="3" customWidth="1"/>
    <col min="4" max="4" width="4.5" style="3" customWidth="1"/>
    <col min="5" max="5" width="5.5" style="5" customWidth="1"/>
    <col min="6" max="6" width="14.83203125" style="40" customWidth="1"/>
    <col min="7" max="7" width="11.83203125" style="40" customWidth="1"/>
    <col min="8" max="12" width="13.1640625" style="40" customWidth="1"/>
    <col min="13" max="14" width="12.33203125" style="186" customWidth="1"/>
    <col min="15" max="15" width="12.83203125" style="90" customWidth="1"/>
    <col min="16" max="19" width="11.83203125" style="40" customWidth="1"/>
    <col min="20" max="20" width="12.5" style="40" customWidth="1"/>
    <col min="21" max="21" width="11.83203125" style="40" customWidth="1"/>
    <col min="22" max="22" width="14.1640625" style="172" customWidth="1"/>
    <col min="23" max="24" width="13.83203125" style="40" customWidth="1"/>
    <col min="25" max="25" width="10.83203125" style="99" customWidth="1"/>
    <col min="26" max="27" width="9.5" style="240" customWidth="1"/>
    <col min="28" max="29" width="9.5" style="8" customWidth="1"/>
    <col min="30" max="30" width="17" customWidth="1"/>
    <col min="31" max="31" width="10.5" style="211" bestFit="1" customWidth="1"/>
    <col min="33" max="33" width="11.33203125" bestFit="1" customWidth="1"/>
    <col min="34" max="34" width="11.6640625" bestFit="1" customWidth="1"/>
    <col min="42" max="42" width="12.83203125" bestFit="1" customWidth="1"/>
  </cols>
  <sheetData>
    <row r="1" spans="1:36" s="1" customFormat="1" ht="30" customHeight="1">
      <c r="A1" s="216" t="s">
        <v>496</v>
      </c>
      <c r="B1" s="200"/>
      <c r="C1" s="200"/>
      <c r="D1" s="200"/>
      <c r="E1" s="200"/>
      <c r="F1" s="200"/>
      <c r="G1" s="200"/>
      <c r="H1" s="200"/>
      <c r="I1" s="200"/>
      <c r="J1" s="200"/>
      <c r="K1" s="200"/>
      <c r="L1" s="200"/>
      <c r="M1" s="201"/>
      <c r="N1" s="201"/>
      <c r="O1" s="200"/>
      <c r="P1" s="200"/>
      <c r="Q1" s="200"/>
      <c r="R1" s="200"/>
      <c r="S1" s="200"/>
      <c r="T1" s="200"/>
      <c r="U1" s="200"/>
      <c r="V1" s="200"/>
      <c r="W1" s="200"/>
      <c r="X1" s="200"/>
      <c r="Y1" s="201"/>
      <c r="Z1" s="200"/>
      <c r="AA1" s="200"/>
      <c r="AB1" s="231"/>
      <c r="AC1" s="231"/>
      <c r="AD1" s="202"/>
      <c r="AE1" s="211"/>
    </row>
    <row r="2" spans="1:36" s="1" customFormat="1" ht="16" customHeight="1">
      <c r="A2" s="203" t="s">
        <v>669</v>
      </c>
      <c r="B2" s="203"/>
      <c r="C2" s="203"/>
      <c r="D2" s="203"/>
      <c r="E2" s="203"/>
      <c r="F2" s="203"/>
      <c r="G2" s="203"/>
      <c r="H2" s="203"/>
      <c r="I2" s="203"/>
      <c r="J2" s="203"/>
      <c r="K2" s="203"/>
      <c r="L2" s="203"/>
      <c r="M2" s="204"/>
      <c r="N2" s="204"/>
      <c r="O2" s="203"/>
      <c r="P2" s="203"/>
      <c r="Q2" s="203"/>
      <c r="R2" s="203"/>
      <c r="S2" s="203"/>
      <c r="T2" s="203"/>
      <c r="U2" s="203"/>
      <c r="V2" s="203"/>
      <c r="W2" s="203"/>
      <c r="X2" s="203"/>
      <c r="Y2" s="204"/>
      <c r="Z2" s="203"/>
      <c r="AA2" s="203"/>
      <c r="AB2" s="232"/>
      <c r="AC2" s="232"/>
      <c r="AD2" s="205"/>
      <c r="AE2" s="211"/>
    </row>
    <row r="3" spans="1:36" ht="88" customHeight="1">
      <c r="A3" s="264" t="s">
        <v>556</v>
      </c>
      <c r="B3" s="96" t="str">
        <f>'Оценка (раздел 1)'!H3</f>
        <v>1.4 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v>
      </c>
      <c r="C3" s="275" t="s">
        <v>100</v>
      </c>
      <c r="D3" s="275"/>
      <c r="E3" s="275"/>
      <c r="F3" s="273" t="s">
        <v>223</v>
      </c>
      <c r="G3" s="273" t="s">
        <v>250</v>
      </c>
      <c r="H3" s="277" t="s">
        <v>653</v>
      </c>
      <c r="I3" s="274"/>
      <c r="J3" s="274"/>
      <c r="K3" s="274"/>
      <c r="L3" s="274"/>
      <c r="M3" s="274"/>
      <c r="N3" s="274"/>
      <c r="O3" s="279" t="s">
        <v>558</v>
      </c>
      <c r="P3" s="260" t="s">
        <v>559</v>
      </c>
      <c r="Q3" s="274"/>
      <c r="R3" s="274"/>
      <c r="S3" s="274"/>
      <c r="T3" s="274"/>
      <c r="U3" s="274"/>
      <c r="V3" s="274"/>
      <c r="W3" s="273" t="s">
        <v>238</v>
      </c>
      <c r="X3" s="274"/>
      <c r="Y3" s="274"/>
      <c r="Z3" s="263" t="s">
        <v>497</v>
      </c>
      <c r="AA3" s="274"/>
      <c r="AB3" s="274"/>
      <c r="AC3" s="274"/>
      <c r="AD3" s="263" t="s">
        <v>130</v>
      </c>
    </row>
    <row r="4" spans="1:36" ht="48" customHeight="1">
      <c r="A4" s="264"/>
      <c r="B4" s="41" t="str">
        <f>'Методика (раздел 1)'!B25</f>
        <v>Да, содержатся для всех бюджетов бюджетной системы Российской Федерации, которым законом о бюджете предусмотрены межбюджетные трансферты</v>
      </c>
      <c r="C4" s="264" t="s">
        <v>89</v>
      </c>
      <c r="D4" s="263" t="s">
        <v>180</v>
      </c>
      <c r="E4" s="275" t="s">
        <v>88</v>
      </c>
      <c r="F4" s="274"/>
      <c r="G4" s="274"/>
      <c r="H4" s="260" t="s">
        <v>599</v>
      </c>
      <c r="I4" s="260" t="s">
        <v>229</v>
      </c>
      <c r="J4" s="260"/>
      <c r="K4" s="260"/>
      <c r="L4" s="260"/>
      <c r="M4" s="260" t="s">
        <v>575</v>
      </c>
      <c r="N4" s="260" t="s">
        <v>560</v>
      </c>
      <c r="O4" s="274"/>
      <c r="P4" s="260" t="s">
        <v>228</v>
      </c>
      <c r="Q4" s="260" t="s">
        <v>654</v>
      </c>
      <c r="R4" s="260" t="s">
        <v>555</v>
      </c>
      <c r="S4" s="274"/>
      <c r="T4" s="260" t="s">
        <v>231</v>
      </c>
      <c r="U4" s="260" t="s">
        <v>247</v>
      </c>
      <c r="V4" s="260" t="s">
        <v>576</v>
      </c>
      <c r="W4" s="273" t="s">
        <v>561</v>
      </c>
      <c r="X4" s="279" t="s">
        <v>562</v>
      </c>
      <c r="Y4" s="280" t="s">
        <v>230</v>
      </c>
      <c r="Z4" s="278" t="s">
        <v>110</v>
      </c>
      <c r="AA4" s="276" t="s">
        <v>182</v>
      </c>
      <c r="AB4" s="276" t="s">
        <v>136</v>
      </c>
      <c r="AC4" s="276" t="s">
        <v>134</v>
      </c>
      <c r="AD4" s="263"/>
    </row>
    <row r="5" spans="1:36" ht="55" customHeight="1">
      <c r="A5" s="264"/>
      <c r="B5" s="41" t="str">
        <f>'Методика (раздел 1)'!B26</f>
        <v>Да, содержатся в части местных бюджетов, при этом законом о бюджете предусмотрены также межбюджетные трансферты другим бюджетам бюджетной системы Российской Федерации</v>
      </c>
      <c r="C5" s="264"/>
      <c r="D5" s="263"/>
      <c r="E5" s="275"/>
      <c r="F5" s="274"/>
      <c r="G5" s="274"/>
      <c r="H5" s="274"/>
      <c r="I5" s="260" t="s">
        <v>224</v>
      </c>
      <c r="J5" s="260" t="s">
        <v>225</v>
      </c>
      <c r="K5" s="260" t="s">
        <v>226</v>
      </c>
      <c r="L5" s="260" t="s">
        <v>227</v>
      </c>
      <c r="M5" s="274"/>
      <c r="N5" s="274"/>
      <c r="O5" s="274"/>
      <c r="P5" s="274"/>
      <c r="Q5" s="274"/>
      <c r="R5" s="260" t="s">
        <v>563</v>
      </c>
      <c r="S5" s="260" t="s">
        <v>557</v>
      </c>
      <c r="T5" s="274"/>
      <c r="U5" s="274"/>
      <c r="V5" s="274"/>
      <c r="W5" s="274"/>
      <c r="X5" s="274"/>
      <c r="Y5" s="281"/>
      <c r="Z5" s="278"/>
      <c r="AA5" s="276"/>
      <c r="AB5" s="276"/>
      <c r="AC5" s="276"/>
      <c r="AD5" s="263"/>
    </row>
    <row r="6" spans="1:36" ht="29" customHeight="1">
      <c r="A6" s="264"/>
      <c r="B6" s="41" t="str">
        <f>'Методика (раздел 1)'!B27</f>
        <v>Нет, не содержатся или не отвечают требованиям</v>
      </c>
      <c r="C6" s="264"/>
      <c r="D6" s="263"/>
      <c r="E6" s="275"/>
      <c r="F6" s="274"/>
      <c r="G6" s="274"/>
      <c r="H6" s="274"/>
      <c r="I6" s="274"/>
      <c r="J6" s="274"/>
      <c r="K6" s="274"/>
      <c r="L6" s="274"/>
      <c r="M6" s="274"/>
      <c r="N6" s="274"/>
      <c r="O6" s="274"/>
      <c r="P6" s="274"/>
      <c r="Q6" s="274"/>
      <c r="R6" s="274"/>
      <c r="S6" s="274"/>
      <c r="T6" s="274"/>
      <c r="U6" s="274"/>
      <c r="V6" s="274"/>
      <c r="W6" s="274"/>
      <c r="X6" s="274"/>
      <c r="Y6" s="281"/>
      <c r="Z6" s="278"/>
      <c r="AA6" s="276"/>
      <c r="AB6" s="276"/>
      <c r="AC6" s="276"/>
      <c r="AD6" s="263"/>
    </row>
    <row r="7" spans="1:36" ht="15" customHeight="1">
      <c r="A7" s="84" t="s">
        <v>0</v>
      </c>
      <c r="B7" s="42"/>
      <c r="C7" s="42"/>
      <c r="D7" s="42"/>
      <c r="E7" s="43"/>
      <c r="F7" s="44"/>
      <c r="G7" s="44"/>
      <c r="H7" s="44"/>
      <c r="I7" s="44"/>
      <c r="J7" s="44"/>
      <c r="K7" s="44"/>
      <c r="L7" s="44"/>
      <c r="M7" s="98"/>
      <c r="N7" s="98"/>
      <c r="O7" s="59"/>
      <c r="P7" s="44"/>
      <c r="Q7" s="44"/>
      <c r="R7" s="44"/>
      <c r="S7" s="44"/>
      <c r="T7" s="44"/>
      <c r="U7" s="44"/>
      <c r="V7" s="44"/>
      <c r="W7" s="44"/>
      <c r="X7" s="44"/>
      <c r="Y7" s="98"/>
      <c r="Z7" s="85"/>
      <c r="AA7" s="239"/>
      <c r="AB7" s="84"/>
      <c r="AC7" s="45"/>
      <c r="AD7" s="42"/>
      <c r="AE7" s="198"/>
      <c r="AF7" s="175"/>
      <c r="AG7" s="175"/>
      <c r="AH7" s="175"/>
      <c r="AI7" s="175"/>
      <c r="AJ7" s="175"/>
    </row>
    <row r="8" spans="1:36" ht="15" customHeight="1">
      <c r="A8" s="107" t="s">
        <v>1</v>
      </c>
      <c r="B8" s="46" t="s">
        <v>419</v>
      </c>
      <c r="C8" s="47">
        <f>IF(B8=$B$4,2,IF(B8=$B$5,1,0))</f>
        <v>1</v>
      </c>
      <c r="D8" s="47"/>
      <c r="E8" s="48">
        <f t="shared" ref="E8:E19" si="0">C8*(1-D8)</f>
        <v>1</v>
      </c>
      <c r="F8" s="58" t="s">
        <v>232</v>
      </c>
      <c r="G8" s="58" t="s">
        <v>121</v>
      </c>
      <c r="H8" s="51">
        <v>53817757.799999997</v>
      </c>
      <c r="I8" s="51">
        <f>5331017+1147652.8+6000</f>
        <v>6484669.7999999998</v>
      </c>
      <c r="J8" s="51">
        <v>8889709.8000000007</v>
      </c>
      <c r="K8" s="51">
        <v>36889640.799999997</v>
      </c>
      <c r="L8" s="51">
        <v>1553737.4</v>
      </c>
      <c r="M8" s="51">
        <f>SUM(I8:L8)</f>
        <v>53817757.799999997</v>
      </c>
      <c r="N8" s="51">
        <f t="shared" ref="N8:N71" si="1">H8-M8</f>
        <v>0</v>
      </c>
      <c r="O8" s="53" t="s">
        <v>249</v>
      </c>
      <c r="P8" s="51">
        <v>1969.8</v>
      </c>
      <c r="Q8" s="51" t="s">
        <v>111</v>
      </c>
      <c r="R8" s="189">
        <v>7192707.7000000002</v>
      </c>
      <c r="S8" s="51">
        <f>784816.4+622415.7+15000</f>
        <v>1422232.1</v>
      </c>
      <c r="T8" s="51" t="s">
        <v>111</v>
      </c>
      <c r="U8" s="51" t="s">
        <v>111</v>
      </c>
      <c r="V8" s="51">
        <f t="shared" ref="V8:V25" si="2">SUM(P8:U8)</f>
        <v>8616909.5999999996</v>
      </c>
      <c r="W8" s="51">
        <f>M8+V8</f>
        <v>62434667.399999999</v>
      </c>
      <c r="X8" s="51">
        <v>55241959.699999981</v>
      </c>
      <c r="Y8" s="51">
        <f>X8-W8</f>
        <v>-7192707.7000000179</v>
      </c>
      <c r="Z8" s="50">
        <f>'1.2'!F7</f>
        <v>246</v>
      </c>
      <c r="AA8" s="58">
        <f>'1.1'!H7</f>
        <v>44918</v>
      </c>
      <c r="AB8" s="233" t="s">
        <v>442</v>
      </c>
      <c r="AC8" s="233" t="s">
        <v>111</v>
      </c>
      <c r="AD8" s="107" t="s">
        <v>565</v>
      </c>
      <c r="AE8" s="212" t="s">
        <v>111</v>
      </c>
      <c r="AF8" s="175"/>
      <c r="AG8" s="175"/>
      <c r="AH8" s="175"/>
      <c r="AI8" s="175"/>
      <c r="AJ8" s="175"/>
    </row>
    <row r="9" spans="1:36" ht="15" customHeight="1">
      <c r="A9" s="107" t="s">
        <v>2</v>
      </c>
      <c r="B9" s="46" t="s">
        <v>418</v>
      </c>
      <c r="C9" s="47">
        <f t="shared" ref="C9:C72" si="3">IF(B9=$B$4,2,IF(B9=$B$5,1,0))</f>
        <v>2</v>
      </c>
      <c r="D9" s="47"/>
      <c r="E9" s="48">
        <f t="shared" si="0"/>
        <v>2</v>
      </c>
      <c r="F9" s="58" t="s">
        <v>239</v>
      </c>
      <c r="G9" s="58" t="s">
        <v>121</v>
      </c>
      <c r="H9" s="51">
        <f>28528630.65988</f>
        <v>28528630.659880001</v>
      </c>
      <c r="I9" s="51">
        <f>3680418</f>
        <v>3680418</v>
      </c>
      <c r="J9" s="51">
        <f>10828067.59914</f>
        <v>10828067.59914</v>
      </c>
      <c r="K9" s="51">
        <f>13294927.41361</f>
        <v>13294927.41361</v>
      </c>
      <c r="L9" s="51">
        <f>725217.64713</f>
        <v>725217.64713000006</v>
      </c>
      <c r="M9" s="51">
        <f t="shared" ref="M9:M17" si="4">SUM(I9:L9)</f>
        <v>28528630.659880001</v>
      </c>
      <c r="N9" s="51">
        <f t="shared" si="1"/>
        <v>0</v>
      </c>
      <c r="O9" s="53" t="s">
        <v>121</v>
      </c>
      <c r="P9" s="51">
        <f>3231.7</f>
        <v>3231.7</v>
      </c>
      <c r="Q9" s="51" t="s">
        <v>111</v>
      </c>
      <c r="R9" s="51" t="s">
        <v>111</v>
      </c>
      <c r="S9" s="51">
        <f>548721900/1000</f>
        <v>548721.9</v>
      </c>
      <c r="T9" s="51" t="s">
        <v>111</v>
      </c>
      <c r="U9" s="51" t="s">
        <v>111</v>
      </c>
      <c r="V9" s="51">
        <f t="shared" si="2"/>
        <v>551953.6</v>
      </c>
      <c r="W9" s="51">
        <f>M9+V9</f>
        <v>29080584.259880003</v>
      </c>
      <c r="X9" s="51">
        <v>29080584.259880006</v>
      </c>
      <c r="Y9" s="51">
        <f>X9-W9</f>
        <v>0</v>
      </c>
      <c r="Z9" s="50" t="str">
        <f>'1.2'!F8</f>
        <v>100-З</v>
      </c>
      <c r="AA9" s="58">
        <f>'1.1'!H8</f>
        <v>44907</v>
      </c>
      <c r="AB9" s="233">
        <v>5</v>
      </c>
      <c r="AC9" s="233" t="s">
        <v>443</v>
      </c>
      <c r="AD9" s="107" t="s">
        <v>111</v>
      </c>
      <c r="AE9" s="213"/>
      <c r="AF9" s="175"/>
      <c r="AG9" s="175"/>
      <c r="AH9" s="175"/>
      <c r="AI9" s="175"/>
      <c r="AJ9" s="175"/>
    </row>
    <row r="10" spans="1:36" ht="15" customHeight="1">
      <c r="A10" s="107" t="s">
        <v>3</v>
      </c>
      <c r="B10" s="46" t="s">
        <v>418</v>
      </c>
      <c r="C10" s="47">
        <f t="shared" si="3"/>
        <v>2</v>
      </c>
      <c r="D10" s="47"/>
      <c r="E10" s="48">
        <f t="shared" si="0"/>
        <v>2</v>
      </c>
      <c r="F10" s="58" t="s">
        <v>239</v>
      </c>
      <c r="G10" s="58" t="s">
        <v>121</v>
      </c>
      <c r="H10" s="51">
        <v>34806356.5</v>
      </c>
      <c r="I10" s="51">
        <v>4318923</v>
      </c>
      <c r="J10" s="51">
        <v>14552112.199999999</v>
      </c>
      <c r="K10" s="51">
        <v>14286065.5</v>
      </c>
      <c r="L10" s="51">
        <v>1649255.8</v>
      </c>
      <c r="M10" s="51">
        <f t="shared" si="4"/>
        <v>34806356.5</v>
      </c>
      <c r="N10" s="51">
        <f t="shared" si="1"/>
        <v>0</v>
      </c>
      <c r="O10" s="53" t="s">
        <v>121</v>
      </c>
      <c r="P10" s="51">
        <v>11995.3</v>
      </c>
      <c r="Q10" s="51" t="s">
        <v>111</v>
      </c>
      <c r="R10" s="51" t="s">
        <v>111</v>
      </c>
      <c r="S10" s="51">
        <v>996847.6</v>
      </c>
      <c r="T10" s="51" t="s">
        <v>111</v>
      </c>
      <c r="U10" s="51" t="s">
        <v>111</v>
      </c>
      <c r="V10" s="51">
        <f t="shared" si="2"/>
        <v>1008842.9</v>
      </c>
      <c r="W10" s="51">
        <f>M10+V10</f>
        <v>35815199.399999999</v>
      </c>
      <c r="X10" s="51">
        <v>35815199.399999991</v>
      </c>
      <c r="Y10" s="51">
        <f>X10-W10</f>
        <v>0</v>
      </c>
      <c r="Z10" s="50" t="str">
        <f>'1.2'!F9</f>
        <v>129-ОЗ</v>
      </c>
      <c r="AA10" s="58">
        <f>'1.1'!H9</f>
        <v>44921</v>
      </c>
      <c r="AB10" s="233">
        <v>8</v>
      </c>
      <c r="AC10" s="233" t="s">
        <v>441</v>
      </c>
      <c r="AD10" s="107" t="s">
        <v>111</v>
      </c>
      <c r="AE10" s="198"/>
      <c r="AF10" s="175"/>
      <c r="AG10" s="175"/>
      <c r="AH10" s="175"/>
      <c r="AI10" s="175"/>
      <c r="AJ10" s="175"/>
    </row>
    <row r="11" spans="1:36" s="7" customFormat="1" ht="15" customHeight="1">
      <c r="A11" s="107" t="s">
        <v>4</v>
      </c>
      <c r="B11" s="46" t="s">
        <v>418</v>
      </c>
      <c r="C11" s="47">
        <f t="shared" si="3"/>
        <v>2</v>
      </c>
      <c r="D11" s="47"/>
      <c r="E11" s="48">
        <f t="shared" si="0"/>
        <v>2</v>
      </c>
      <c r="F11" s="58" t="s">
        <v>239</v>
      </c>
      <c r="G11" s="58" t="s">
        <v>121</v>
      </c>
      <c r="H11" s="51">
        <v>59553964.5</v>
      </c>
      <c r="I11" s="51">
        <v>2865581</v>
      </c>
      <c r="J11" s="51">
        <v>31254727</v>
      </c>
      <c r="K11" s="51">
        <v>23235910.199999999</v>
      </c>
      <c r="L11" s="51">
        <v>2197746.2999999998</v>
      </c>
      <c r="M11" s="51">
        <f t="shared" si="4"/>
        <v>59553964.5</v>
      </c>
      <c r="N11" s="51">
        <f t="shared" si="1"/>
        <v>0</v>
      </c>
      <c r="O11" s="53" t="s">
        <v>121</v>
      </c>
      <c r="P11" s="51" t="s">
        <v>111</v>
      </c>
      <c r="Q11" s="51" t="s">
        <v>111</v>
      </c>
      <c r="R11" s="51" t="s">
        <v>111</v>
      </c>
      <c r="S11" s="51">
        <v>994565</v>
      </c>
      <c r="T11" s="51" t="s">
        <v>111</v>
      </c>
      <c r="U11" s="51" t="s">
        <v>111</v>
      </c>
      <c r="V11" s="51">
        <f t="shared" si="2"/>
        <v>994565</v>
      </c>
      <c r="W11" s="51">
        <f>M11+V11</f>
        <v>60548529.5</v>
      </c>
      <c r="X11" s="51">
        <v>60548529.5</v>
      </c>
      <c r="Y11" s="51">
        <f t="shared" ref="Y11:Y37" si="5">X11-W11</f>
        <v>0</v>
      </c>
      <c r="Z11" s="50" t="str">
        <f>'1.2'!F10</f>
        <v>119-ОЗ</v>
      </c>
      <c r="AA11" s="58">
        <f>'1.1'!H10</f>
        <v>44914</v>
      </c>
      <c r="AB11" s="233" t="s">
        <v>217</v>
      </c>
      <c r="AC11" s="233" t="s">
        <v>221</v>
      </c>
      <c r="AD11" s="107" t="s">
        <v>111</v>
      </c>
      <c r="AE11" s="198"/>
      <c r="AF11" s="176"/>
      <c r="AG11" s="176"/>
      <c r="AH11" s="176"/>
      <c r="AI11" s="176"/>
      <c r="AJ11" s="176"/>
    </row>
    <row r="12" spans="1:36" s="30" customFormat="1" ht="15" customHeight="1">
      <c r="A12" s="107" t="s">
        <v>5</v>
      </c>
      <c r="B12" s="46" t="s">
        <v>418</v>
      </c>
      <c r="C12" s="47">
        <f t="shared" si="3"/>
        <v>2</v>
      </c>
      <c r="D12" s="47"/>
      <c r="E12" s="48">
        <f t="shared" si="0"/>
        <v>2</v>
      </c>
      <c r="F12" s="58" t="s">
        <v>239</v>
      </c>
      <c r="G12" s="58" t="s">
        <v>121</v>
      </c>
      <c r="H12" s="51">
        <f>22638788374.27/1000</f>
        <v>22638788.37427</v>
      </c>
      <c r="I12" s="51">
        <f>5715933535.31/1000</f>
        <v>5715933.5353100002</v>
      </c>
      <c r="J12" s="51">
        <f>7671473448.04/1000</f>
        <v>7671473.4480400002</v>
      </c>
      <c r="K12" s="51">
        <f>7837389181.82/1000</f>
        <v>7837389.1818199996</v>
      </c>
      <c r="L12" s="51">
        <f>1413992209.1/1000</f>
        <v>1413992.2090999999</v>
      </c>
      <c r="M12" s="51">
        <f t="shared" si="4"/>
        <v>22638788.37427</v>
      </c>
      <c r="N12" s="51">
        <f t="shared" si="1"/>
        <v>0</v>
      </c>
      <c r="O12" s="53" t="s">
        <v>121</v>
      </c>
      <c r="P12" s="51" t="s">
        <v>111</v>
      </c>
      <c r="Q12" s="51" t="s">
        <v>111</v>
      </c>
      <c r="R12" s="282">
        <f>689757936/1000</f>
        <v>689757.93599999999</v>
      </c>
      <c r="S12" s="284"/>
      <c r="T12" s="51" t="s">
        <v>111</v>
      </c>
      <c r="U12" s="51" t="s">
        <v>111</v>
      </c>
      <c r="V12" s="51">
        <f t="shared" si="2"/>
        <v>689757.93599999999</v>
      </c>
      <c r="W12" s="51">
        <f>M12+V12</f>
        <v>23328546.31027</v>
      </c>
      <c r="X12" s="51">
        <v>23328546.310269993</v>
      </c>
      <c r="Y12" s="51">
        <f t="shared" si="5"/>
        <v>0</v>
      </c>
      <c r="Z12" s="50" t="str">
        <f>'1.2'!F11</f>
        <v>76-ОЗ</v>
      </c>
      <c r="AA12" s="58">
        <f>'1.1'!H11</f>
        <v>44914</v>
      </c>
      <c r="AB12" s="233">
        <v>7</v>
      </c>
      <c r="AC12" s="233" t="s">
        <v>111</v>
      </c>
      <c r="AD12" s="107" t="s">
        <v>567</v>
      </c>
      <c r="AE12" s="198" t="s">
        <v>111</v>
      </c>
      <c r="AF12" s="177"/>
      <c r="AG12" s="177"/>
      <c r="AH12" s="177"/>
      <c r="AI12" s="177"/>
      <c r="AJ12" s="177"/>
    </row>
    <row r="13" spans="1:36" ht="15" customHeight="1">
      <c r="A13" s="107" t="s">
        <v>6</v>
      </c>
      <c r="B13" s="46" t="s">
        <v>418</v>
      </c>
      <c r="C13" s="47">
        <f t="shared" si="3"/>
        <v>2</v>
      </c>
      <c r="D13" s="47"/>
      <c r="E13" s="48">
        <f t="shared" si="0"/>
        <v>2</v>
      </c>
      <c r="F13" s="58" t="s">
        <v>239</v>
      </c>
      <c r="G13" s="58" t="s">
        <v>121</v>
      </c>
      <c r="H13" s="51">
        <v>31784356</v>
      </c>
      <c r="I13" s="51">
        <v>992048</v>
      </c>
      <c r="J13" s="51">
        <v>9547219.8000000007</v>
      </c>
      <c r="K13" s="51">
        <v>19946845.300000001</v>
      </c>
      <c r="L13" s="51">
        <v>1298242.8999999999</v>
      </c>
      <c r="M13" s="51">
        <f t="shared" si="4"/>
        <v>31784356</v>
      </c>
      <c r="N13" s="51">
        <f t="shared" si="1"/>
        <v>0</v>
      </c>
      <c r="O13" s="53" t="s">
        <v>121</v>
      </c>
      <c r="P13" s="51">
        <v>1713</v>
      </c>
      <c r="Q13" s="51" t="s">
        <v>111</v>
      </c>
      <c r="R13" s="51" t="s">
        <v>111</v>
      </c>
      <c r="S13" s="51">
        <f>2122374.7+17280.3</f>
        <v>2139655</v>
      </c>
      <c r="T13" s="51" t="s">
        <v>111</v>
      </c>
      <c r="U13" s="51" t="s">
        <v>111</v>
      </c>
      <c r="V13" s="51">
        <f t="shared" si="2"/>
        <v>2141368</v>
      </c>
      <c r="W13" s="51">
        <f t="shared" ref="W13:W75" si="6">M13+V13</f>
        <v>33925724</v>
      </c>
      <c r="X13" s="51">
        <v>33925723.999860004</v>
      </c>
      <c r="Y13" s="51">
        <f t="shared" si="5"/>
        <v>-1.3999640941619873E-4</v>
      </c>
      <c r="Z13" s="50" t="str">
        <f>'1.2'!F12</f>
        <v>301-ОЗ</v>
      </c>
      <c r="AA13" s="58">
        <f>'1.1'!H12</f>
        <v>44896</v>
      </c>
      <c r="AB13" s="233">
        <v>14</v>
      </c>
      <c r="AC13" s="233" t="s">
        <v>111</v>
      </c>
      <c r="AD13" s="107" t="s">
        <v>111</v>
      </c>
      <c r="AE13" s="213"/>
      <c r="AF13" s="175"/>
      <c r="AG13" s="175"/>
      <c r="AH13" s="175"/>
      <c r="AI13" s="175"/>
      <c r="AJ13" s="175"/>
    </row>
    <row r="14" spans="1:36" s="7" customFormat="1" ht="15" customHeight="1">
      <c r="A14" s="107" t="s">
        <v>7</v>
      </c>
      <c r="B14" s="46" t="s">
        <v>419</v>
      </c>
      <c r="C14" s="47">
        <f t="shared" si="3"/>
        <v>1</v>
      </c>
      <c r="D14" s="47">
        <v>0.5</v>
      </c>
      <c r="E14" s="48">
        <f t="shared" si="0"/>
        <v>0.5</v>
      </c>
      <c r="F14" s="58" t="s">
        <v>232</v>
      </c>
      <c r="G14" s="58" t="s">
        <v>121</v>
      </c>
      <c r="H14" s="51">
        <v>15351994.300000001</v>
      </c>
      <c r="I14" s="51">
        <f>134644+2928337+510000+90158</f>
        <v>3663139</v>
      </c>
      <c r="J14" s="51">
        <v>4435957.0999999996</v>
      </c>
      <c r="K14" s="51">
        <v>5815182.7999999998</v>
      </c>
      <c r="L14" s="51">
        <v>1437715.4</v>
      </c>
      <c r="M14" s="51">
        <f t="shared" si="4"/>
        <v>15351994.299999999</v>
      </c>
      <c r="N14" s="51">
        <f t="shared" si="1"/>
        <v>0</v>
      </c>
      <c r="O14" s="53" t="s">
        <v>122</v>
      </c>
      <c r="P14" s="51">
        <v>2315.1</v>
      </c>
      <c r="Q14" s="51" t="s">
        <v>111</v>
      </c>
      <c r="R14" s="51" t="s">
        <v>111</v>
      </c>
      <c r="S14" s="51" t="s">
        <v>111</v>
      </c>
      <c r="T14" s="51" t="s">
        <v>111</v>
      </c>
      <c r="U14" s="51" t="s">
        <v>111</v>
      </c>
      <c r="V14" s="51">
        <f t="shared" si="2"/>
        <v>2315.1</v>
      </c>
      <c r="W14" s="51">
        <f t="shared" si="6"/>
        <v>15354309.399999999</v>
      </c>
      <c r="X14" s="51">
        <v>15897808.800000006</v>
      </c>
      <c r="Y14" s="51">
        <f t="shared" si="5"/>
        <v>543499.40000000782</v>
      </c>
      <c r="Z14" s="50" t="str">
        <f>'1.2'!F13</f>
        <v>297-7-ЗКО</v>
      </c>
      <c r="AA14" s="58">
        <f>'1.1'!H13</f>
        <v>44914</v>
      </c>
      <c r="AB14" s="233" t="s">
        <v>444</v>
      </c>
      <c r="AC14" s="233" t="s">
        <v>441</v>
      </c>
      <c r="AD14" s="107" t="s">
        <v>569</v>
      </c>
      <c r="AE14" s="198" t="s">
        <v>111</v>
      </c>
      <c r="AF14" s="176"/>
      <c r="AG14" s="176"/>
      <c r="AH14" s="176"/>
      <c r="AI14" s="176"/>
      <c r="AJ14" s="176"/>
    </row>
    <row r="15" spans="1:36" s="30" customFormat="1" ht="15" customHeight="1">
      <c r="A15" s="107" t="s">
        <v>8</v>
      </c>
      <c r="B15" s="46" t="s">
        <v>418</v>
      </c>
      <c r="C15" s="47">
        <f t="shared" si="3"/>
        <v>2</v>
      </c>
      <c r="D15" s="47"/>
      <c r="E15" s="48">
        <f t="shared" si="0"/>
        <v>2</v>
      </c>
      <c r="F15" s="58" t="s">
        <v>239</v>
      </c>
      <c r="G15" s="58" t="s">
        <v>121</v>
      </c>
      <c r="H15" s="51">
        <f>30411033476/1000</f>
        <v>30411033.476</v>
      </c>
      <c r="I15" s="51">
        <f xml:space="preserve"> 645666333/1000</f>
        <v>645666.33299999998</v>
      </c>
      <c r="J15" s="51">
        <f>9038902065/1000</f>
        <v>9038902.0649999995</v>
      </c>
      <c r="K15" s="51">
        <f>20460599757/1000</f>
        <v>20460599.756999999</v>
      </c>
      <c r="L15" s="51">
        <f>265865321/1000</f>
        <v>265865.321</v>
      </c>
      <c r="M15" s="51">
        <f t="shared" si="4"/>
        <v>30411033.476</v>
      </c>
      <c r="N15" s="51">
        <f t="shared" si="1"/>
        <v>0</v>
      </c>
      <c r="O15" s="53" t="s">
        <v>121</v>
      </c>
      <c r="P15" s="51">
        <f>1113.5</f>
        <v>1113.5</v>
      </c>
      <c r="Q15" s="51" t="s">
        <v>111</v>
      </c>
      <c r="R15" s="51" t="s">
        <v>111</v>
      </c>
      <c r="S15" s="51">
        <f>819064.8+8000</f>
        <v>827064.8</v>
      </c>
      <c r="T15" s="51" t="s">
        <v>111</v>
      </c>
      <c r="U15" s="51" t="s">
        <v>111</v>
      </c>
      <c r="V15" s="51">
        <f t="shared" si="2"/>
        <v>828178.3</v>
      </c>
      <c r="W15" s="51">
        <f t="shared" si="6"/>
        <v>31239211.776000001</v>
      </c>
      <c r="X15" s="51">
        <f>31239211776/1000</f>
        <v>31239211.776000001</v>
      </c>
      <c r="Y15" s="51">
        <f t="shared" si="5"/>
        <v>0</v>
      </c>
      <c r="Z15" s="50" t="str">
        <f>'1.2'!F14</f>
        <v>145-ЗКО</v>
      </c>
      <c r="AA15" s="58">
        <f>'1.1'!H14</f>
        <v>44914</v>
      </c>
      <c r="AB15" s="233">
        <v>9</v>
      </c>
      <c r="AC15" s="233" t="s">
        <v>217</v>
      </c>
      <c r="AD15" s="107" t="s">
        <v>111</v>
      </c>
      <c r="AE15" s="198"/>
      <c r="AF15" s="177"/>
      <c r="AG15" s="177"/>
      <c r="AH15" s="177"/>
      <c r="AI15" s="177"/>
      <c r="AJ15" s="177"/>
    </row>
    <row r="16" spans="1:36" ht="15" customHeight="1">
      <c r="A16" s="107" t="s">
        <v>9</v>
      </c>
      <c r="B16" s="46" t="s">
        <v>419</v>
      </c>
      <c r="C16" s="47">
        <f t="shared" si="3"/>
        <v>1</v>
      </c>
      <c r="D16" s="47"/>
      <c r="E16" s="48">
        <f t="shared" si="0"/>
        <v>1</v>
      </c>
      <c r="F16" s="58" t="s">
        <v>232</v>
      </c>
      <c r="G16" s="58" t="s">
        <v>121</v>
      </c>
      <c r="H16" s="51">
        <f>28394478.01056</f>
        <v>28394478.010559998</v>
      </c>
      <c r="I16" s="51">
        <f>3036891.4</f>
        <v>3036891.4</v>
      </c>
      <c r="J16" s="51">
        <f>8008405.05086</f>
        <v>8008405.0508599998</v>
      </c>
      <c r="K16" s="51">
        <f>14670180.24716</f>
        <v>14670180.247160001</v>
      </c>
      <c r="L16" s="51">
        <f>2679001.31254</f>
        <v>2679001.3125399998</v>
      </c>
      <c r="M16" s="51">
        <f t="shared" si="4"/>
        <v>28394478.010559998</v>
      </c>
      <c r="N16" s="51">
        <f t="shared" si="1"/>
        <v>0</v>
      </c>
      <c r="O16" s="53" t="s">
        <v>122</v>
      </c>
      <c r="P16" s="51" t="s">
        <v>111</v>
      </c>
      <c r="Q16" s="51" t="s">
        <v>111</v>
      </c>
      <c r="R16" s="51" t="s">
        <v>111</v>
      </c>
      <c r="S16" s="51" t="s">
        <v>111</v>
      </c>
      <c r="T16" s="51" t="s">
        <v>111</v>
      </c>
      <c r="U16" s="51" t="s">
        <v>111</v>
      </c>
      <c r="V16" s="51">
        <f t="shared" si="2"/>
        <v>0</v>
      </c>
      <c r="W16" s="51">
        <f t="shared" si="6"/>
        <v>28394478.010559998</v>
      </c>
      <c r="X16" s="51">
        <v>30137629.710560001</v>
      </c>
      <c r="Y16" s="51">
        <f>X16-W16</f>
        <v>1743151.700000003</v>
      </c>
      <c r="Z16" s="50" t="str">
        <f>'1.2'!F15</f>
        <v>243-ОЗ</v>
      </c>
      <c r="AA16" s="58">
        <f>'1.1'!H15</f>
        <v>44902</v>
      </c>
      <c r="AB16" s="233">
        <v>11</v>
      </c>
      <c r="AC16" s="233" t="s">
        <v>111</v>
      </c>
      <c r="AD16" s="107" t="s">
        <v>607</v>
      </c>
      <c r="AE16" s="198" t="s">
        <v>111</v>
      </c>
      <c r="AF16" s="175"/>
      <c r="AG16" s="175"/>
      <c r="AH16" s="175"/>
      <c r="AI16" s="175"/>
      <c r="AJ16" s="175"/>
    </row>
    <row r="17" spans="1:43" ht="15" customHeight="1">
      <c r="A17" s="107" t="s">
        <v>10</v>
      </c>
      <c r="B17" s="46" t="s">
        <v>418</v>
      </c>
      <c r="C17" s="47">
        <f t="shared" si="3"/>
        <v>2</v>
      </c>
      <c r="D17" s="47"/>
      <c r="E17" s="48">
        <f t="shared" si="0"/>
        <v>2</v>
      </c>
      <c r="F17" s="58" t="s">
        <v>239</v>
      </c>
      <c r="G17" s="58" t="s">
        <v>121</v>
      </c>
      <c r="H17" s="51">
        <v>292553701</v>
      </c>
      <c r="I17" s="51">
        <v>5113611</v>
      </c>
      <c r="J17" s="51">
        <v>144889045</v>
      </c>
      <c r="K17" s="51">
        <v>138792674</v>
      </c>
      <c r="L17" s="51">
        <v>3758371</v>
      </c>
      <c r="M17" s="51">
        <f t="shared" si="4"/>
        <v>292553701</v>
      </c>
      <c r="N17" s="51">
        <f t="shared" si="1"/>
        <v>0</v>
      </c>
      <c r="O17" s="53" t="s">
        <v>121</v>
      </c>
      <c r="P17" s="51">
        <v>11623</v>
      </c>
      <c r="Q17" s="51">
        <f>3727695</f>
        <v>3727695</v>
      </c>
      <c r="R17" s="51" t="s">
        <v>111</v>
      </c>
      <c r="S17" s="51">
        <v>13076476</v>
      </c>
      <c r="T17" s="51">
        <v>1953065</v>
      </c>
      <c r="U17" s="51" t="s">
        <v>111</v>
      </c>
      <c r="V17" s="51">
        <f t="shared" si="2"/>
        <v>18768859</v>
      </c>
      <c r="W17" s="51">
        <f t="shared" si="6"/>
        <v>311322560</v>
      </c>
      <c r="X17" s="51">
        <v>311322560</v>
      </c>
      <c r="Y17" s="51">
        <f t="shared" si="5"/>
        <v>0</v>
      </c>
      <c r="Z17" s="50" t="str">
        <f>'1.2'!F16</f>
        <v>220/2022-ОЗ</v>
      </c>
      <c r="AA17" s="58">
        <f>'1.1'!H16</f>
        <v>44902</v>
      </c>
      <c r="AB17" s="233" t="s">
        <v>590</v>
      </c>
      <c r="AC17" s="233" t="s">
        <v>111</v>
      </c>
      <c r="AD17" s="107" t="s">
        <v>111</v>
      </c>
      <c r="AE17" s="213"/>
      <c r="AF17" s="175"/>
      <c r="AG17" s="175"/>
      <c r="AH17" s="175"/>
      <c r="AI17" s="175"/>
      <c r="AJ17" s="175"/>
    </row>
    <row r="18" spans="1:43" s="7" customFormat="1" ht="15" customHeight="1">
      <c r="A18" s="107" t="s">
        <v>11</v>
      </c>
      <c r="B18" s="46" t="s">
        <v>212</v>
      </c>
      <c r="C18" s="47">
        <f t="shared" si="3"/>
        <v>0</v>
      </c>
      <c r="D18" s="47"/>
      <c r="E18" s="48">
        <f t="shared" si="0"/>
        <v>0</v>
      </c>
      <c r="F18" s="58" t="s">
        <v>122</v>
      </c>
      <c r="G18" s="52" t="s">
        <v>122</v>
      </c>
      <c r="H18" s="51">
        <v>16711294.699999999</v>
      </c>
      <c r="I18" s="51" t="s">
        <v>111</v>
      </c>
      <c r="J18" s="51" t="s">
        <v>111</v>
      </c>
      <c r="K18" s="51" t="s">
        <v>111</v>
      </c>
      <c r="L18" s="51" t="s">
        <v>111</v>
      </c>
      <c r="M18" s="51">
        <f t="shared" ref="M18:M75" si="7">SUM(I18:L18)</f>
        <v>0</v>
      </c>
      <c r="N18" s="51">
        <f>H18-M18</f>
        <v>16711294.699999999</v>
      </c>
      <c r="O18" s="53" t="s">
        <v>122</v>
      </c>
      <c r="P18" s="51" t="s">
        <v>111</v>
      </c>
      <c r="Q18" s="51" t="s">
        <v>111</v>
      </c>
      <c r="R18" s="51" t="s">
        <v>111</v>
      </c>
      <c r="S18" s="51" t="s">
        <v>111</v>
      </c>
      <c r="T18" s="51" t="s">
        <v>111</v>
      </c>
      <c r="U18" s="51" t="s">
        <v>111</v>
      </c>
      <c r="V18" s="51">
        <v>0</v>
      </c>
      <c r="W18" s="51">
        <f t="shared" si="6"/>
        <v>0</v>
      </c>
      <c r="X18" s="51">
        <v>17094821.099999998</v>
      </c>
      <c r="Y18" s="51">
        <f>X18-W18</f>
        <v>17094821.099999998</v>
      </c>
      <c r="Z18" s="50" t="str">
        <f>'1.2'!F17</f>
        <v>2838-ОЗ</v>
      </c>
      <c r="AA18" s="58">
        <f>'1.1'!H17</f>
        <v>44897</v>
      </c>
      <c r="AB18" s="233">
        <v>8</v>
      </c>
      <c r="AC18" s="233" t="s">
        <v>111</v>
      </c>
      <c r="AD18" s="107" t="s">
        <v>597</v>
      </c>
      <c r="AE18" s="198" t="s">
        <v>111</v>
      </c>
      <c r="AF18" s="175"/>
      <c r="AG18" s="175"/>
      <c r="AH18" s="175"/>
      <c r="AI18" s="175"/>
      <c r="AJ18" s="175"/>
      <c r="AK18"/>
      <c r="AL18"/>
      <c r="AM18"/>
      <c r="AN18"/>
      <c r="AO18"/>
      <c r="AP18"/>
      <c r="AQ18"/>
    </row>
    <row r="19" spans="1:43" s="7" customFormat="1" ht="15" customHeight="1">
      <c r="A19" s="107" t="s">
        <v>12</v>
      </c>
      <c r="B19" s="46" t="s">
        <v>212</v>
      </c>
      <c r="C19" s="47">
        <f t="shared" si="3"/>
        <v>0</v>
      </c>
      <c r="D19" s="47"/>
      <c r="E19" s="48">
        <f t="shared" si="0"/>
        <v>0</v>
      </c>
      <c r="F19" s="58" t="s">
        <v>249</v>
      </c>
      <c r="G19" s="52" t="s">
        <v>249</v>
      </c>
      <c r="H19" s="189">
        <f>30606514408.59/1000</f>
        <v>30606514.40859</v>
      </c>
      <c r="I19" s="51">
        <f>(1506398824.23+ 671832082.2+4000000+5000000+5000000+5000000)/1000</f>
        <v>2197230.9064300004</v>
      </c>
      <c r="J19" s="189">
        <f>12732663144.59/1000</f>
        <v>12732663.14459</v>
      </c>
      <c r="K19" s="51">
        <f>14917937233.92/1000</f>
        <v>14917937.23392</v>
      </c>
      <c r="L19" s="51">
        <f>(10591363.65+260620000+442471760+45000000)/1000</f>
        <v>758683.12364999996</v>
      </c>
      <c r="M19" s="51">
        <f t="shared" si="7"/>
        <v>30606514.40859</v>
      </c>
      <c r="N19" s="51">
        <f t="shared" si="1"/>
        <v>0</v>
      </c>
      <c r="O19" s="53" t="s">
        <v>121</v>
      </c>
      <c r="P19" s="51" t="s">
        <v>111</v>
      </c>
      <c r="Q19" s="51" t="s">
        <v>111</v>
      </c>
      <c r="R19" s="282">
        <f>740200700/1000</f>
        <v>740200.7</v>
      </c>
      <c r="S19" s="284"/>
      <c r="T19" s="51"/>
      <c r="U19" s="51" t="s">
        <v>111</v>
      </c>
      <c r="V19" s="51">
        <f t="shared" si="2"/>
        <v>740200.7</v>
      </c>
      <c r="W19" s="51">
        <f t="shared" si="6"/>
        <v>31346715.108589999</v>
      </c>
      <c r="X19" s="51">
        <v>31341394.99495</v>
      </c>
      <c r="Y19" s="51">
        <f t="shared" si="5"/>
        <v>-5320.113639999181</v>
      </c>
      <c r="Z19" s="50" t="str">
        <f>'1.2'!F18</f>
        <v>94-ОЗ</v>
      </c>
      <c r="AA19" s="58">
        <f>'1.1'!H18</f>
        <v>44921</v>
      </c>
      <c r="AB19" s="233">
        <v>6</v>
      </c>
      <c r="AC19" s="233" t="s">
        <v>111</v>
      </c>
      <c r="AD19" s="107" t="s">
        <v>626</v>
      </c>
      <c r="AE19" s="198" t="s">
        <v>111</v>
      </c>
      <c r="AF19" s="176"/>
      <c r="AG19" s="176"/>
      <c r="AH19" s="176"/>
      <c r="AI19" s="176"/>
      <c r="AJ19" s="176"/>
    </row>
    <row r="20" spans="1:43" s="7" customFormat="1" ht="15" customHeight="1">
      <c r="A20" s="107" t="s">
        <v>13</v>
      </c>
      <c r="B20" s="46" t="s">
        <v>418</v>
      </c>
      <c r="C20" s="47">
        <f t="shared" si="3"/>
        <v>2</v>
      </c>
      <c r="D20" s="47"/>
      <c r="E20" s="48">
        <f t="shared" ref="E20:E25" si="8">C20*(1-D20)</f>
        <v>2</v>
      </c>
      <c r="F20" s="52" t="s">
        <v>239</v>
      </c>
      <c r="G20" s="58" t="s">
        <v>121</v>
      </c>
      <c r="H20" s="51">
        <v>19177172.600000001</v>
      </c>
      <c r="I20" s="51">
        <f>3092000+1139186</f>
        <v>4231186</v>
      </c>
      <c r="J20" s="51">
        <v>5266734.9000000004</v>
      </c>
      <c r="K20" s="51">
        <v>9454251.6999999993</v>
      </c>
      <c r="L20" s="51">
        <v>225000</v>
      </c>
      <c r="M20" s="51">
        <f t="shared" si="7"/>
        <v>19177172.600000001</v>
      </c>
      <c r="N20" s="51">
        <f t="shared" si="1"/>
        <v>0</v>
      </c>
      <c r="O20" s="53" t="s">
        <v>121</v>
      </c>
      <c r="P20" s="51">
        <v>1204.2</v>
      </c>
      <c r="Q20" s="51" t="s">
        <v>111</v>
      </c>
      <c r="R20" s="51" t="s">
        <v>111</v>
      </c>
      <c r="S20" s="51">
        <v>1029110</v>
      </c>
      <c r="T20" s="51" t="s">
        <v>111</v>
      </c>
      <c r="U20" s="51" t="s">
        <v>111</v>
      </c>
      <c r="V20" s="51">
        <f t="shared" si="2"/>
        <v>1030314.2</v>
      </c>
      <c r="W20" s="51">
        <f t="shared" si="6"/>
        <v>20207486.800000001</v>
      </c>
      <c r="X20" s="51">
        <v>20207486.811300002</v>
      </c>
      <c r="Y20" s="51">
        <f t="shared" si="5"/>
        <v>1.1300001293420792E-2</v>
      </c>
      <c r="Z20" s="50" t="str">
        <f>'1.2'!F19</f>
        <v>159-з</v>
      </c>
      <c r="AA20" s="58">
        <f>'1.1'!H19</f>
        <v>44910</v>
      </c>
      <c r="AB20" s="233" t="s">
        <v>589</v>
      </c>
      <c r="AC20" s="233" t="s">
        <v>111</v>
      </c>
      <c r="AD20" s="107" t="s">
        <v>111</v>
      </c>
      <c r="AE20" s="213"/>
      <c r="AF20" s="175"/>
      <c r="AG20" s="175"/>
      <c r="AH20" s="175"/>
      <c r="AI20" s="175"/>
      <c r="AJ20" s="175"/>
      <c r="AK20"/>
      <c r="AL20"/>
      <c r="AM20"/>
      <c r="AN20"/>
      <c r="AO20"/>
      <c r="AP20"/>
      <c r="AQ20"/>
    </row>
    <row r="21" spans="1:43" s="30" customFormat="1" ht="15" customHeight="1">
      <c r="A21" s="107" t="s">
        <v>14</v>
      </c>
      <c r="B21" s="46" t="s">
        <v>419</v>
      </c>
      <c r="C21" s="47">
        <f t="shared" si="3"/>
        <v>1</v>
      </c>
      <c r="D21" s="47"/>
      <c r="E21" s="48">
        <f t="shared" si="8"/>
        <v>1</v>
      </c>
      <c r="F21" s="58" t="s">
        <v>232</v>
      </c>
      <c r="G21" s="58" t="s">
        <v>121</v>
      </c>
      <c r="H21" s="51">
        <v>19611934.699999999</v>
      </c>
      <c r="I21" s="51">
        <v>3534741.6</v>
      </c>
      <c r="J21" s="51">
        <v>7074526.0999999996</v>
      </c>
      <c r="K21" s="51">
        <v>8309169.4000000004</v>
      </c>
      <c r="L21" s="51">
        <v>693497.6</v>
      </c>
      <c r="M21" s="51">
        <f t="shared" si="7"/>
        <v>19611934.700000003</v>
      </c>
      <c r="N21" s="51">
        <f t="shared" si="1"/>
        <v>0</v>
      </c>
      <c r="O21" s="53" t="s">
        <v>249</v>
      </c>
      <c r="P21" s="51">
        <v>1257.4000000000001</v>
      </c>
      <c r="Q21" s="51" t="s">
        <v>111</v>
      </c>
      <c r="R21" s="51" t="s">
        <v>111</v>
      </c>
      <c r="S21" s="189">
        <f>244092+327926.7+7140</f>
        <v>579158.69999999995</v>
      </c>
      <c r="T21" s="51" t="s">
        <v>111</v>
      </c>
      <c r="U21" s="51" t="s">
        <v>111</v>
      </c>
      <c r="V21" s="51">
        <f t="shared" si="2"/>
        <v>580416.1</v>
      </c>
      <c r="W21" s="51">
        <f t="shared" si="6"/>
        <v>20192350.800000004</v>
      </c>
      <c r="X21" s="51">
        <v>20173225.5</v>
      </c>
      <c r="Y21" s="51">
        <f t="shared" si="5"/>
        <v>-19125.30000000447</v>
      </c>
      <c r="Z21" s="50" t="str">
        <f>'1.2'!F20</f>
        <v>206-З</v>
      </c>
      <c r="AA21" s="58">
        <f>'1.1'!H20</f>
        <v>44918</v>
      </c>
      <c r="AB21" s="233" t="s">
        <v>218</v>
      </c>
      <c r="AC21" s="233" t="s">
        <v>111</v>
      </c>
      <c r="AD21" s="107" t="s">
        <v>568</v>
      </c>
      <c r="AE21" s="198" t="s">
        <v>111</v>
      </c>
      <c r="AF21" s="177"/>
      <c r="AG21" s="177"/>
      <c r="AH21" s="177"/>
      <c r="AI21" s="177"/>
      <c r="AJ21" s="177"/>
    </row>
    <row r="22" spans="1:43" s="30" customFormat="1" ht="15" customHeight="1">
      <c r="A22" s="107" t="s">
        <v>15</v>
      </c>
      <c r="B22" s="46" t="s">
        <v>418</v>
      </c>
      <c r="C22" s="47">
        <f t="shared" si="3"/>
        <v>2</v>
      </c>
      <c r="D22" s="47"/>
      <c r="E22" s="48">
        <f t="shared" si="8"/>
        <v>2</v>
      </c>
      <c r="F22" s="58" t="s">
        <v>239</v>
      </c>
      <c r="G22" s="58" t="s">
        <v>121</v>
      </c>
      <c r="H22" s="51">
        <v>25289316.5</v>
      </c>
      <c r="I22" s="51">
        <v>2168885</v>
      </c>
      <c r="J22" s="51">
        <v>8317556.5</v>
      </c>
      <c r="K22" s="51">
        <v>13215835.6</v>
      </c>
      <c r="L22" s="51">
        <v>1587039.4</v>
      </c>
      <c r="M22" s="51">
        <f t="shared" si="7"/>
        <v>25289316.5</v>
      </c>
      <c r="N22" s="51">
        <f t="shared" si="1"/>
        <v>0</v>
      </c>
      <c r="O22" s="53" t="s">
        <v>121</v>
      </c>
      <c r="P22" s="51">
        <v>2547</v>
      </c>
      <c r="Q22" s="51" t="s">
        <v>111</v>
      </c>
      <c r="R22" s="51" t="s">
        <v>111</v>
      </c>
      <c r="S22" s="51">
        <v>1112333.3</v>
      </c>
      <c r="T22" s="51" t="s">
        <v>111</v>
      </c>
      <c r="U22" s="51" t="s">
        <v>111</v>
      </c>
      <c r="V22" s="51">
        <f t="shared" si="2"/>
        <v>1114880.3</v>
      </c>
      <c r="W22" s="51">
        <f t="shared" si="6"/>
        <v>26404196.800000001</v>
      </c>
      <c r="X22" s="51">
        <v>26404196.799999993</v>
      </c>
      <c r="Y22" s="51">
        <f t="shared" si="5"/>
        <v>0</v>
      </c>
      <c r="Z22" s="50" t="str">
        <f>'1.2'!F21</f>
        <v>111-ЗО</v>
      </c>
      <c r="AA22" s="58">
        <f>'1.1'!H21</f>
        <v>44924</v>
      </c>
      <c r="AB22" s="233" t="s">
        <v>214</v>
      </c>
      <c r="AC22" s="233" t="s">
        <v>217</v>
      </c>
      <c r="AD22" s="107" t="s">
        <v>111</v>
      </c>
      <c r="AE22" s="198"/>
      <c r="AF22" s="177"/>
      <c r="AG22" s="177"/>
      <c r="AH22" s="177"/>
      <c r="AI22" s="177"/>
      <c r="AJ22" s="177"/>
    </row>
    <row r="23" spans="1:43" s="33" customFormat="1" ht="15" customHeight="1">
      <c r="A23" s="107" t="s">
        <v>16</v>
      </c>
      <c r="B23" s="46" t="s">
        <v>418</v>
      </c>
      <c r="C23" s="47">
        <f t="shared" si="3"/>
        <v>2</v>
      </c>
      <c r="D23" s="47">
        <v>0.5</v>
      </c>
      <c r="E23" s="48">
        <f t="shared" si="8"/>
        <v>1</v>
      </c>
      <c r="F23" s="52" t="s">
        <v>239</v>
      </c>
      <c r="G23" s="52" t="s">
        <v>121</v>
      </c>
      <c r="H23" s="51">
        <f>35691465492.65/1000</f>
        <v>35691465.492650002</v>
      </c>
      <c r="I23" s="51">
        <f>(1749982747.37+10000000+5000000+462411455.74+118241636.15+100000000+199786534.93)/1000</f>
        <v>2645422.3741899994</v>
      </c>
      <c r="J23" s="51">
        <f>7901469049.04/1000</f>
        <v>7901469.04904</v>
      </c>
      <c r="K23" s="51">
        <f>19862448617.31/1000</f>
        <v>19862448.617310002</v>
      </c>
      <c r="L23" s="51">
        <f>5282125452.11/1000</f>
        <v>5282125.45211</v>
      </c>
      <c r="M23" s="51">
        <f t="shared" si="7"/>
        <v>35691465.492650002</v>
      </c>
      <c r="N23" s="51">
        <f t="shared" si="1"/>
        <v>0</v>
      </c>
      <c r="O23" s="53" t="s">
        <v>121</v>
      </c>
      <c r="P23" s="51">
        <f xml:space="preserve"> 1689900/1000</f>
        <v>1689.9</v>
      </c>
      <c r="Q23" s="51" t="s">
        <v>111</v>
      </c>
      <c r="R23" s="51" t="s">
        <v>111</v>
      </c>
      <c r="S23" s="51">
        <f>(1000000+693990900+875067000)/1000</f>
        <v>1570057.9</v>
      </c>
      <c r="T23" s="51" t="s">
        <v>111</v>
      </c>
      <c r="U23" s="51" t="s">
        <v>111</v>
      </c>
      <c r="V23" s="51">
        <f t="shared" si="2"/>
        <v>1571747.7999999998</v>
      </c>
      <c r="W23" s="51">
        <f t="shared" si="6"/>
        <v>37263213.292649999</v>
      </c>
      <c r="X23" s="51">
        <v>37263213.292649984</v>
      </c>
      <c r="Y23" s="51">
        <f t="shared" si="5"/>
        <v>0</v>
      </c>
      <c r="Z23" s="50" t="str">
        <f>'1.2'!F22</f>
        <v>138-ЗТО</v>
      </c>
      <c r="AA23" s="58">
        <f>'1.1'!H22</f>
        <v>44916</v>
      </c>
      <c r="AB23" s="233" t="s">
        <v>248</v>
      </c>
      <c r="AC23" s="233" t="s">
        <v>111</v>
      </c>
      <c r="AD23" s="107" t="s">
        <v>566</v>
      </c>
      <c r="AE23" s="198" t="s">
        <v>111</v>
      </c>
      <c r="AF23" s="178"/>
      <c r="AG23" s="178"/>
      <c r="AH23" s="179"/>
      <c r="AI23" s="178"/>
      <c r="AJ23" s="178"/>
    </row>
    <row r="24" spans="1:43" ht="15" customHeight="1">
      <c r="A24" s="107" t="s">
        <v>17</v>
      </c>
      <c r="B24" s="46" t="s">
        <v>212</v>
      </c>
      <c r="C24" s="47">
        <f t="shared" si="3"/>
        <v>0</v>
      </c>
      <c r="D24" s="47"/>
      <c r="E24" s="48">
        <f t="shared" si="8"/>
        <v>0</v>
      </c>
      <c r="F24" s="58" t="s">
        <v>249</v>
      </c>
      <c r="G24" s="52" t="s">
        <v>249</v>
      </c>
      <c r="H24" s="51" t="s">
        <v>111</v>
      </c>
      <c r="I24" s="185">
        <f>5681019210/1000</f>
        <v>5681019.21</v>
      </c>
      <c r="J24" s="51">
        <f>10756323913/1000</f>
        <v>10756323.913000001</v>
      </c>
      <c r="K24" s="51">
        <f>29011954752/1000</f>
        <v>29011954.752</v>
      </c>
      <c r="L24" s="189">
        <f>(1983813570+1976796020)/1000</f>
        <v>3960609.59</v>
      </c>
      <c r="M24" s="51">
        <f t="shared" si="7"/>
        <v>49409907.465000004</v>
      </c>
      <c r="N24" s="51" t="s">
        <v>111</v>
      </c>
      <c r="O24" s="53" t="s">
        <v>121</v>
      </c>
      <c r="P24" s="51">
        <f>1856290/1000</f>
        <v>1856.29</v>
      </c>
      <c r="Q24" s="51" t="s">
        <v>111</v>
      </c>
      <c r="R24" s="51" t="s">
        <v>111</v>
      </c>
      <c r="S24" s="51">
        <f>(1899621800+7017550)/1000</f>
        <v>1906639.35</v>
      </c>
      <c r="T24" s="51" t="s">
        <v>111</v>
      </c>
      <c r="U24" s="51" t="s">
        <v>111</v>
      </c>
      <c r="V24" s="51">
        <f>SUM(P24:U24)</f>
        <v>1908495.6400000001</v>
      </c>
      <c r="W24" s="51">
        <f>M24+V24</f>
        <v>51318403.105000004</v>
      </c>
      <c r="X24" s="51">
        <v>49334589.534999996</v>
      </c>
      <c r="Y24" s="51">
        <f t="shared" si="5"/>
        <v>-1983813.5700000077</v>
      </c>
      <c r="Z24" s="50" t="str">
        <f>'1.2'!F23</f>
        <v>76-з</v>
      </c>
      <c r="AA24" s="58">
        <f>'1.1'!H23</f>
        <v>44918</v>
      </c>
      <c r="AB24" s="233" t="s">
        <v>441</v>
      </c>
      <c r="AC24" s="233">
        <v>11</v>
      </c>
      <c r="AD24" s="107" t="s">
        <v>570</v>
      </c>
      <c r="AE24" s="213" t="s">
        <v>111</v>
      </c>
      <c r="AF24" s="175"/>
      <c r="AG24" s="175"/>
      <c r="AH24" s="175"/>
      <c r="AI24" s="175"/>
      <c r="AJ24" s="175"/>
    </row>
    <row r="25" spans="1:43" ht="15" customHeight="1">
      <c r="A25" s="107" t="s">
        <v>545</v>
      </c>
      <c r="B25" s="46" t="s">
        <v>419</v>
      </c>
      <c r="C25" s="47">
        <f t="shared" si="3"/>
        <v>1</v>
      </c>
      <c r="D25" s="47"/>
      <c r="E25" s="48">
        <f t="shared" si="8"/>
        <v>1</v>
      </c>
      <c r="F25" s="58" t="s">
        <v>232</v>
      </c>
      <c r="G25" s="52" t="s">
        <v>121</v>
      </c>
      <c r="H25" s="51">
        <v>8075146.2999999998</v>
      </c>
      <c r="I25" s="51">
        <v>400000</v>
      </c>
      <c r="J25" s="51">
        <v>6449837.2999999998</v>
      </c>
      <c r="K25" s="51">
        <v>886429</v>
      </c>
      <c r="L25" s="51">
        <v>338880</v>
      </c>
      <c r="M25" s="51">
        <f t="shared" si="7"/>
        <v>8075146.2999999998</v>
      </c>
      <c r="N25" s="51">
        <f t="shared" si="1"/>
        <v>0</v>
      </c>
      <c r="O25" s="53" t="s">
        <v>122</v>
      </c>
      <c r="P25" s="51" t="s">
        <v>111</v>
      </c>
      <c r="Q25" s="51" t="s">
        <v>111</v>
      </c>
      <c r="R25" s="51" t="s">
        <v>111</v>
      </c>
      <c r="S25" s="51" t="s">
        <v>111</v>
      </c>
      <c r="T25" s="51">
        <v>7496382.0999999996</v>
      </c>
      <c r="U25" s="51" t="s">
        <v>111</v>
      </c>
      <c r="V25" s="51">
        <f t="shared" si="2"/>
        <v>7496382.0999999996</v>
      </c>
      <c r="W25" s="51">
        <f t="shared" si="6"/>
        <v>15571528.399999999</v>
      </c>
      <c r="X25" s="51">
        <v>69860543.5</v>
      </c>
      <c r="Y25" s="51">
        <f t="shared" si="5"/>
        <v>54289015.100000001</v>
      </c>
      <c r="Z25" s="50">
        <f>'1.2'!F24</f>
        <v>30</v>
      </c>
      <c r="AA25" s="58">
        <f>'1.1'!H24</f>
        <v>44867</v>
      </c>
      <c r="AB25" s="233">
        <v>7</v>
      </c>
      <c r="AC25" s="233" t="s">
        <v>111</v>
      </c>
      <c r="AD25" s="107" t="s">
        <v>606</v>
      </c>
      <c r="AE25" s="213" t="s">
        <v>111</v>
      </c>
      <c r="AF25" s="175"/>
      <c r="AG25" s="175"/>
      <c r="AH25" s="175"/>
      <c r="AI25" s="175"/>
      <c r="AJ25" s="175"/>
    </row>
    <row r="26" spans="1:43" ht="15" customHeight="1">
      <c r="A26" s="120" t="s">
        <v>18</v>
      </c>
      <c r="B26" s="43"/>
      <c r="C26" s="43"/>
      <c r="D26" s="43"/>
      <c r="E26" s="43"/>
      <c r="F26" s="59"/>
      <c r="G26" s="59"/>
      <c r="H26" s="55"/>
      <c r="I26" s="55"/>
      <c r="J26" s="55"/>
      <c r="K26" s="55"/>
      <c r="L26" s="55"/>
      <c r="M26" s="56"/>
      <c r="N26" s="56"/>
      <c r="O26" s="55"/>
      <c r="P26" s="55"/>
      <c r="Q26" s="55"/>
      <c r="R26" s="55"/>
      <c r="S26" s="55"/>
      <c r="T26" s="56"/>
      <c r="U26" s="56"/>
      <c r="V26" s="56"/>
      <c r="W26" s="56"/>
      <c r="X26" s="56"/>
      <c r="Y26" s="56"/>
      <c r="Z26" s="239"/>
      <c r="AA26" s="59"/>
      <c r="AB26" s="45"/>
      <c r="AC26" s="45"/>
      <c r="AD26" s="120"/>
      <c r="AE26" s="198"/>
      <c r="AF26" s="175"/>
      <c r="AG26" s="175"/>
      <c r="AH26" s="175"/>
      <c r="AI26" s="175"/>
      <c r="AJ26" s="175"/>
    </row>
    <row r="27" spans="1:43" s="7" customFormat="1" ht="15" customHeight="1">
      <c r="A27" s="107" t="s">
        <v>19</v>
      </c>
      <c r="B27" s="46" t="s">
        <v>418</v>
      </c>
      <c r="C27" s="47">
        <f t="shared" si="3"/>
        <v>2</v>
      </c>
      <c r="D27" s="47"/>
      <c r="E27" s="48">
        <f t="shared" ref="E27:E37" si="9">C27*(1-D27)</f>
        <v>2</v>
      </c>
      <c r="F27" s="58" t="s">
        <v>239</v>
      </c>
      <c r="G27" s="58" t="s">
        <v>121</v>
      </c>
      <c r="H27" s="51">
        <v>18177674.899999999</v>
      </c>
      <c r="I27" s="51">
        <v>1200000</v>
      </c>
      <c r="J27" s="51">
        <v>5579108.2000000002</v>
      </c>
      <c r="K27" s="51">
        <v>10498742.4</v>
      </c>
      <c r="L27" s="51">
        <v>899824.3</v>
      </c>
      <c r="M27" s="51">
        <f t="shared" si="7"/>
        <v>18177674.900000002</v>
      </c>
      <c r="N27" s="51">
        <f t="shared" si="1"/>
        <v>0</v>
      </c>
      <c r="O27" s="53" t="s">
        <v>121</v>
      </c>
      <c r="P27" s="51">
        <v>3185</v>
      </c>
      <c r="Q27" s="51" t="s">
        <v>111</v>
      </c>
      <c r="R27" s="51" t="s">
        <v>111</v>
      </c>
      <c r="S27" s="51">
        <v>63007.3</v>
      </c>
      <c r="T27" s="51" t="s">
        <v>111</v>
      </c>
      <c r="U27" s="51" t="s">
        <v>111</v>
      </c>
      <c r="V27" s="51">
        <f t="shared" ref="V27:V36" si="10">SUM(P27:U27)</f>
        <v>66192.3</v>
      </c>
      <c r="W27" s="51">
        <f t="shared" si="6"/>
        <v>18243867.200000003</v>
      </c>
      <c r="X27" s="51">
        <v>18243867.199999999</v>
      </c>
      <c r="Y27" s="51">
        <f t="shared" si="5"/>
        <v>0</v>
      </c>
      <c r="Z27" s="50" t="str">
        <f>'1.2'!F26</f>
        <v>2776-ЗРК</v>
      </c>
      <c r="AA27" s="58">
        <f>'1.1'!H26</f>
        <v>44916</v>
      </c>
      <c r="AB27" s="233">
        <v>5</v>
      </c>
      <c r="AC27" s="233" t="s">
        <v>111</v>
      </c>
      <c r="AD27" s="107" t="s">
        <v>111</v>
      </c>
      <c r="AE27" s="198"/>
      <c r="AF27" s="176"/>
      <c r="AG27" s="181"/>
      <c r="AH27" s="176"/>
      <c r="AI27" s="176"/>
      <c r="AJ27" s="176"/>
    </row>
    <row r="28" spans="1:43" ht="15" customHeight="1">
      <c r="A28" s="107" t="s">
        <v>20</v>
      </c>
      <c r="B28" s="46" t="s">
        <v>418</v>
      </c>
      <c r="C28" s="47">
        <f t="shared" si="3"/>
        <v>2</v>
      </c>
      <c r="D28" s="47"/>
      <c r="E28" s="48">
        <f t="shared" si="9"/>
        <v>2</v>
      </c>
      <c r="F28" s="58" t="s">
        <v>239</v>
      </c>
      <c r="G28" s="58" t="s">
        <v>121</v>
      </c>
      <c r="H28" s="51">
        <v>33106701.300000001</v>
      </c>
      <c r="I28" s="51">
        <v>3950308.1</v>
      </c>
      <c r="J28" s="51">
        <v>9034133.4000000004</v>
      </c>
      <c r="K28" s="51">
        <v>19319907.5</v>
      </c>
      <c r="L28" s="51">
        <v>802352.3</v>
      </c>
      <c r="M28" s="51">
        <f t="shared" si="7"/>
        <v>33106701.300000001</v>
      </c>
      <c r="N28" s="51">
        <f t="shared" si="1"/>
        <v>0</v>
      </c>
      <c r="O28" s="53" t="s">
        <v>121</v>
      </c>
      <c r="P28" s="51">
        <v>17397.400000000001</v>
      </c>
      <c r="Q28" s="51" t="s">
        <v>111</v>
      </c>
      <c r="R28" s="282">
        <v>2233526.1</v>
      </c>
      <c r="S28" s="284"/>
      <c r="T28" s="51" t="s">
        <v>111</v>
      </c>
      <c r="U28" s="51" t="s">
        <v>111</v>
      </c>
      <c r="V28" s="51">
        <f t="shared" si="10"/>
        <v>2250923.5</v>
      </c>
      <c r="W28" s="51">
        <f t="shared" si="6"/>
        <v>35357624.799999997</v>
      </c>
      <c r="X28" s="51">
        <v>35357624.700000003</v>
      </c>
      <c r="Y28" s="51">
        <f t="shared" si="5"/>
        <v>-9.9999994039535522E-2</v>
      </c>
      <c r="Z28" s="50" t="str">
        <f>'1.2'!F27</f>
        <v>104-РЗ</v>
      </c>
      <c r="AA28" s="58">
        <f>'1.1'!H27</f>
        <v>44900</v>
      </c>
      <c r="AB28" s="233">
        <v>3</v>
      </c>
      <c r="AC28" s="233" t="s">
        <v>111</v>
      </c>
      <c r="AD28" s="107" t="s">
        <v>567</v>
      </c>
      <c r="AE28" s="198" t="s">
        <v>111</v>
      </c>
      <c r="AF28" s="175"/>
      <c r="AG28" s="175"/>
      <c r="AH28" s="175"/>
      <c r="AI28" s="175"/>
      <c r="AJ28" s="175"/>
    </row>
    <row r="29" spans="1:43" ht="15" customHeight="1">
      <c r="A29" s="107" t="s">
        <v>21</v>
      </c>
      <c r="B29" s="46" t="s">
        <v>418</v>
      </c>
      <c r="C29" s="47">
        <f t="shared" si="3"/>
        <v>2</v>
      </c>
      <c r="D29" s="47"/>
      <c r="E29" s="48">
        <f t="shared" si="9"/>
        <v>2</v>
      </c>
      <c r="F29" s="58" t="s">
        <v>239</v>
      </c>
      <c r="G29" s="58" t="s">
        <v>121</v>
      </c>
      <c r="H29" s="51">
        <f>44356474672.52/1000</f>
        <v>44356474.672519997</v>
      </c>
      <c r="I29" s="51">
        <f>2151276842.52/1000</f>
        <v>2151276.8425199999</v>
      </c>
      <c r="J29" s="51">
        <f>13250562703.83/1000</f>
        <v>13250562.70383</v>
      </c>
      <c r="K29" s="51">
        <f>22846020152.58/1000</f>
        <v>22846020.15258</v>
      </c>
      <c r="L29" s="51">
        <f>6108614973.59/1000</f>
        <v>6108614.9735900005</v>
      </c>
      <c r="M29" s="51">
        <f t="shared" si="7"/>
        <v>44356474.672520004</v>
      </c>
      <c r="N29" s="51">
        <f t="shared" si="1"/>
        <v>0</v>
      </c>
      <c r="O29" s="53" t="s">
        <v>121</v>
      </c>
      <c r="P29" s="51">
        <f>3428400/1000</f>
        <v>3428.4</v>
      </c>
      <c r="Q29" s="51" t="s">
        <v>111</v>
      </c>
      <c r="R29" s="51" t="s">
        <v>111</v>
      </c>
      <c r="S29" s="51">
        <f>815419500/1000</f>
        <v>815419.5</v>
      </c>
      <c r="T29" s="51" t="s">
        <v>111</v>
      </c>
      <c r="U29" s="51" t="s">
        <v>111</v>
      </c>
      <c r="V29" s="51">
        <f t="shared" si="10"/>
        <v>818847.9</v>
      </c>
      <c r="W29" s="51">
        <f t="shared" si="6"/>
        <v>45175322.572520003</v>
      </c>
      <c r="X29" s="51">
        <v>45175322.572520003</v>
      </c>
      <c r="Y29" s="51">
        <f t="shared" si="5"/>
        <v>0</v>
      </c>
      <c r="Z29" s="50" t="str">
        <f>'1.2'!F28</f>
        <v>655-40-ОЗ</v>
      </c>
      <c r="AA29" s="58">
        <f>'1.1'!H28</f>
        <v>44915</v>
      </c>
      <c r="AB29" s="233">
        <v>9</v>
      </c>
      <c r="AC29" s="233" t="s">
        <v>442</v>
      </c>
      <c r="AD29" s="107" t="s">
        <v>111</v>
      </c>
      <c r="AE29" s="198" t="s">
        <v>111</v>
      </c>
      <c r="AF29" s="175"/>
      <c r="AG29" s="175"/>
      <c r="AH29" s="175"/>
      <c r="AI29" s="175"/>
      <c r="AJ29" s="175"/>
    </row>
    <row r="30" spans="1:43" ht="15" customHeight="1">
      <c r="A30" s="107" t="s">
        <v>22</v>
      </c>
      <c r="B30" s="46" t="s">
        <v>418</v>
      </c>
      <c r="C30" s="47">
        <f t="shared" si="3"/>
        <v>2</v>
      </c>
      <c r="D30" s="47"/>
      <c r="E30" s="48">
        <f t="shared" si="9"/>
        <v>2</v>
      </c>
      <c r="F30" s="58" t="s">
        <v>239</v>
      </c>
      <c r="G30" s="58" t="s">
        <v>121</v>
      </c>
      <c r="H30" s="51">
        <v>46359170.700000003</v>
      </c>
      <c r="I30" s="51">
        <v>6259411</v>
      </c>
      <c r="J30" s="51">
        <v>21112480.300000001</v>
      </c>
      <c r="K30" s="51">
        <v>17861911.699999999</v>
      </c>
      <c r="L30" s="51">
        <v>1125367.7</v>
      </c>
      <c r="M30" s="51">
        <f t="shared" si="7"/>
        <v>46359170.700000003</v>
      </c>
      <c r="N30" s="51">
        <f t="shared" si="1"/>
        <v>0</v>
      </c>
      <c r="O30" s="53" t="s">
        <v>121</v>
      </c>
      <c r="P30" s="51">
        <v>7660.9</v>
      </c>
      <c r="Q30" s="51" t="s">
        <v>111</v>
      </c>
      <c r="R30" s="51" t="s">
        <v>111</v>
      </c>
      <c r="S30" s="51">
        <f>2154219+30000</f>
        <v>2184219</v>
      </c>
      <c r="T30" s="51" t="s">
        <v>111</v>
      </c>
      <c r="U30" s="51" t="s">
        <v>111</v>
      </c>
      <c r="V30" s="51">
        <f t="shared" si="10"/>
        <v>2191879.9</v>
      </c>
      <c r="W30" s="51">
        <f t="shared" si="6"/>
        <v>48551050.600000001</v>
      </c>
      <c r="X30" s="51">
        <v>48551050.599999994</v>
      </c>
      <c r="Y30" s="51">
        <f t="shared" si="5"/>
        <v>0</v>
      </c>
      <c r="Z30" s="50" t="str">
        <f>'1.2'!F29</f>
        <v>5283-ОЗ</v>
      </c>
      <c r="AA30" s="58">
        <f>'1.1'!H29</f>
        <v>44908</v>
      </c>
      <c r="AB30" s="233">
        <v>6</v>
      </c>
      <c r="AC30" s="233" t="s">
        <v>111</v>
      </c>
      <c r="AD30" s="107" t="s">
        <v>111</v>
      </c>
      <c r="AE30" s="198" t="s">
        <v>111</v>
      </c>
      <c r="AF30" s="175"/>
      <c r="AG30" s="175"/>
      <c r="AH30" s="175"/>
      <c r="AI30" s="175"/>
      <c r="AJ30" s="175"/>
    </row>
    <row r="31" spans="1:43" s="30" customFormat="1" ht="15" customHeight="1">
      <c r="A31" s="107" t="s">
        <v>23</v>
      </c>
      <c r="B31" s="46" t="s">
        <v>212</v>
      </c>
      <c r="C31" s="47">
        <f t="shared" si="3"/>
        <v>0</v>
      </c>
      <c r="D31" s="47"/>
      <c r="E31" s="48">
        <f t="shared" si="9"/>
        <v>0</v>
      </c>
      <c r="F31" s="58" t="s">
        <v>249</v>
      </c>
      <c r="G31" s="58" t="s">
        <v>249</v>
      </c>
      <c r="H31" s="189">
        <v>28612258.780000001</v>
      </c>
      <c r="I31" s="189">
        <f>1668359+150000+135000</f>
        <v>1953359</v>
      </c>
      <c r="J31" s="189">
        <v>9742422.4600000009</v>
      </c>
      <c r="K31" s="189">
        <v>14876569.27</v>
      </c>
      <c r="L31" s="189">
        <v>2039908.06</v>
      </c>
      <c r="M31" s="51">
        <f t="shared" si="7"/>
        <v>28612258.789999999</v>
      </c>
      <c r="N31" s="51">
        <f t="shared" si="1"/>
        <v>-9.9999979138374329E-3</v>
      </c>
      <c r="O31" s="53" t="s">
        <v>122</v>
      </c>
      <c r="P31" s="51" t="s">
        <v>111</v>
      </c>
      <c r="Q31" s="51" t="s">
        <v>111</v>
      </c>
      <c r="R31" s="51" t="s">
        <v>111</v>
      </c>
      <c r="S31" s="51" t="s">
        <v>111</v>
      </c>
      <c r="T31" s="51" t="s">
        <v>111</v>
      </c>
      <c r="U31" s="51" t="s">
        <v>111</v>
      </c>
      <c r="V31" s="51">
        <f t="shared" si="10"/>
        <v>0</v>
      </c>
      <c r="W31" s="51">
        <f t="shared" si="6"/>
        <v>28612258.789999999</v>
      </c>
      <c r="X31" s="51">
        <v>30358563.620000008</v>
      </c>
      <c r="Y31" s="51">
        <f t="shared" si="5"/>
        <v>1746304.8300000094</v>
      </c>
      <c r="Z31" s="50">
        <f>'1.2'!F30</f>
        <v>167</v>
      </c>
      <c r="AA31" s="58">
        <f>'1.1'!H30</f>
        <v>44917</v>
      </c>
      <c r="AB31" s="233" t="s">
        <v>587</v>
      </c>
      <c r="AC31" s="233" t="s">
        <v>111</v>
      </c>
      <c r="AD31" s="107" t="s">
        <v>663</v>
      </c>
      <c r="AE31" s="198" t="s">
        <v>111</v>
      </c>
      <c r="AF31" s="177"/>
      <c r="AG31" s="177"/>
      <c r="AH31" s="177"/>
      <c r="AI31" s="177"/>
      <c r="AJ31" s="177"/>
    </row>
    <row r="32" spans="1:43" ht="15" customHeight="1">
      <c r="A32" s="107" t="s">
        <v>24</v>
      </c>
      <c r="B32" s="46" t="s">
        <v>418</v>
      </c>
      <c r="C32" s="47">
        <f t="shared" si="3"/>
        <v>2</v>
      </c>
      <c r="D32" s="47"/>
      <c r="E32" s="48">
        <f t="shared" si="9"/>
        <v>2</v>
      </c>
      <c r="F32" s="58" t="s">
        <v>239</v>
      </c>
      <c r="G32" s="58" t="s">
        <v>121</v>
      </c>
      <c r="H32" s="51">
        <v>53829495.299999997</v>
      </c>
      <c r="I32" s="51">
        <v>3724815.5</v>
      </c>
      <c r="J32" s="51">
        <v>13751129</v>
      </c>
      <c r="K32" s="51">
        <v>35738533.799999997</v>
      </c>
      <c r="L32" s="51">
        <v>615017</v>
      </c>
      <c r="M32" s="51">
        <f t="shared" si="7"/>
        <v>53829495.299999997</v>
      </c>
      <c r="N32" s="51">
        <f t="shared" si="1"/>
        <v>0</v>
      </c>
      <c r="O32" s="53" t="s">
        <v>121</v>
      </c>
      <c r="P32" s="51">
        <v>150000</v>
      </c>
      <c r="Q32" s="51">
        <f>900422.7+309564</f>
        <v>1209986.7</v>
      </c>
      <c r="R32" s="51" t="s">
        <v>111</v>
      </c>
      <c r="S32" s="51">
        <f>6621.9+1421402.7+1792275.1</f>
        <v>3220299.7</v>
      </c>
      <c r="T32" s="51">
        <v>5919380</v>
      </c>
      <c r="U32" s="51" t="s">
        <v>111</v>
      </c>
      <c r="V32" s="51">
        <f t="shared" si="10"/>
        <v>10499666.4</v>
      </c>
      <c r="W32" s="51">
        <f t="shared" si="6"/>
        <v>64329161.699999996</v>
      </c>
      <c r="X32" s="51">
        <v>64329161.700000018</v>
      </c>
      <c r="Y32" s="51">
        <f t="shared" si="5"/>
        <v>0</v>
      </c>
      <c r="Z32" s="50" t="str">
        <f>'1.2'!F31</f>
        <v>151-оз</v>
      </c>
      <c r="AA32" s="58">
        <f>'1.1'!H31</f>
        <v>44914</v>
      </c>
      <c r="AB32" s="233">
        <v>7</v>
      </c>
      <c r="AC32" s="233">
        <v>11</v>
      </c>
      <c r="AD32" s="107" t="s">
        <v>111</v>
      </c>
      <c r="AE32" s="198"/>
      <c r="AF32" s="175"/>
      <c r="AG32" s="175"/>
      <c r="AH32" s="175"/>
      <c r="AI32" s="175"/>
      <c r="AJ32" s="175"/>
    </row>
    <row r="33" spans="1:36" ht="15" customHeight="1">
      <c r="A33" s="107" t="s">
        <v>25</v>
      </c>
      <c r="B33" s="46" t="s">
        <v>418</v>
      </c>
      <c r="C33" s="47">
        <f t="shared" si="3"/>
        <v>2</v>
      </c>
      <c r="D33" s="47"/>
      <c r="E33" s="48">
        <f t="shared" si="9"/>
        <v>2</v>
      </c>
      <c r="F33" s="58" t="s">
        <v>239</v>
      </c>
      <c r="G33" s="58" t="s">
        <v>121</v>
      </c>
      <c r="H33" s="51">
        <v>38550469.299999997</v>
      </c>
      <c r="I33" s="51">
        <v>5559132.5999999996</v>
      </c>
      <c r="J33" s="51">
        <v>12988434.6</v>
      </c>
      <c r="K33" s="51">
        <v>18394188</v>
      </c>
      <c r="L33" s="51">
        <v>1608714.2</v>
      </c>
      <c r="M33" s="51">
        <f t="shared" si="7"/>
        <v>38550469.400000006</v>
      </c>
      <c r="N33" s="51">
        <f t="shared" si="1"/>
        <v>-0.10000000894069672</v>
      </c>
      <c r="O33" s="53" t="s">
        <v>121</v>
      </c>
      <c r="P33" s="51">
        <v>14574.5</v>
      </c>
      <c r="Q33" s="51" t="s">
        <v>111</v>
      </c>
      <c r="R33" s="51" t="s">
        <v>111</v>
      </c>
      <c r="S33" s="51">
        <v>1720947.7</v>
      </c>
      <c r="T33" s="51">
        <v>602616.5</v>
      </c>
      <c r="U33" s="51" t="s">
        <v>111</v>
      </c>
      <c r="V33" s="51">
        <f t="shared" si="10"/>
        <v>2338138.7000000002</v>
      </c>
      <c r="W33" s="51">
        <f t="shared" si="6"/>
        <v>40888608.100000009</v>
      </c>
      <c r="X33" s="51">
        <v>40888608.039180011</v>
      </c>
      <c r="Y33" s="51">
        <f t="shared" si="5"/>
        <v>-6.0819998383522034E-2</v>
      </c>
      <c r="Z33" s="50" t="str">
        <f>'1.2'!F32</f>
        <v>2845-01-ЗМО</v>
      </c>
      <c r="AA33" s="58">
        <f>'1.1'!H32</f>
        <v>44915</v>
      </c>
      <c r="AB33" s="233" t="s">
        <v>293</v>
      </c>
      <c r="AC33" s="233" t="s">
        <v>111</v>
      </c>
      <c r="AD33" s="107" t="s">
        <v>111</v>
      </c>
      <c r="AE33" s="198"/>
      <c r="AF33" s="175"/>
      <c r="AG33" s="175"/>
      <c r="AH33" s="175"/>
      <c r="AI33" s="175"/>
      <c r="AJ33" s="175"/>
    </row>
    <row r="34" spans="1:36" ht="15" customHeight="1">
      <c r="A34" s="107" t="s">
        <v>26</v>
      </c>
      <c r="B34" s="46" t="s">
        <v>419</v>
      </c>
      <c r="C34" s="47">
        <f t="shared" si="3"/>
        <v>1</v>
      </c>
      <c r="D34" s="47"/>
      <c r="E34" s="48">
        <f t="shared" si="9"/>
        <v>1</v>
      </c>
      <c r="F34" s="58" t="s">
        <v>232</v>
      </c>
      <c r="G34" s="58" t="s">
        <v>121</v>
      </c>
      <c r="H34" s="51">
        <v>15442686.740560001</v>
      </c>
      <c r="I34" s="51">
        <v>693012.4</v>
      </c>
      <c r="J34" s="51">
        <v>7851039.9063900001</v>
      </c>
      <c r="K34" s="51">
        <v>6252141.0599999996</v>
      </c>
      <c r="L34" s="51">
        <v>646493.37416999997</v>
      </c>
      <c r="M34" s="51">
        <f t="shared" si="7"/>
        <v>15442686.740560001</v>
      </c>
      <c r="N34" s="51">
        <f t="shared" si="1"/>
        <v>0</v>
      </c>
      <c r="O34" s="53" t="s">
        <v>249</v>
      </c>
      <c r="P34" s="51" t="s">
        <v>111</v>
      </c>
      <c r="Q34" s="51" t="s">
        <v>111</v>
      </c>
      <c r="R34" s="51" t="s">
        <v>111</v>
      </c>
      <c r="S34" s="51" t="s">
        <v>111</v>
      </c>
      <c r="T34" s="189">
        <v>2848140.6</v>
      </c>
      <c r="U34" s="51" t="s">
        <v>111</v>
      </c>
      <c r="V34" s="51">
        <f t="shared" si="10"/>
        <v>2848140.6</v>
      </c>
      <c r="W34" s="51">
        <f t="shared" si="6"/>
        <v>18290827.34056</v>
      </c>
      <c r="X34" s="51">
        <v>16314462.04056</v>
      </c>
      <c r="Y34" s="51">
        <f t="shared" si="5"/>
        <v>-1976365.3000000007</v>
      </c>
      <c r="Z34" s="50" t="str">
        <f>'1.2'!F33</f>
        <v>251-ОЗ</v>
      </c>
      <c r="AA34" s="58">
        <f>'1.1'!H33</f>
        <v>44917</v>
      </c>
      <c r="AB34" s="233">
        <v>14</v>
      </c>
      <c r="AC34" s="233">
        <v>12</v>
      </c>
      <c r="AD34" s="107" t="s">
        <v>604</v>
      </c>
      <c r="AE34" s="198" t="s">
        <v>111</v>
      </c>
      <c r="AF34" s="175"/>
      <c r="AG34" s="175"/>
      <c r="AH34" s="175"/>
      <c r="AI34" s="175"/>
      <c r="AJ34" s="175"/>
    </row>
    <row r="35" spans="1:36" ht="15" customHeight="1">
      <c r="A35" s="107" t="s">
        <v>27</v>
      </c>
      <c r="B35" s="46" t="s">
        <v>418</v>
      </c>
      <c r="C35" s="47">
        <f t="shared" si="3"/>
        <v>2</v>
      </c>
      <c r="D35" s="47"/>
      <c r="E35" s="48">
        <f t="shared" si="9"/>
        <v>2</v>
      </c>
      <c r="F35" s="58" t="s">
        <v>239</v>
      </c>
      <c r="G35" s="58" t="s">
        <v>121</v>
      </c>
      <c r="H35" s="51" t="s">
        <v>111</v>
      </c>
      <c r="I35" s="51">
        <v>2555349</v>
      </c>
      <c r="J35" s="51">
        <v>7129749</v>
      </c>
      <c r="K35" s="51">
        <v>5221615</v>
      </c>
      <c r="L35" s="51">
        <v>1059088</v>
      </c>
      <c r="M35" s="51">
        <f t="shared" si="7"/>
        <v>15965801</v>
      </c>
      <c r="N35" s="51" t="s">
        <v>111</v>
      </c>
      <c r="O35" s="53" t="s">
        <v>121</v>
      </c>
      <c r="P35" s="51">
        <f>3994+1729</f>
        <v>5723</v>
      </c>
      <c r="Q35" s="51" t="s">
        <v>111</v>
      </c>
      <c r="R35" s="51" t="s">
        <v>111</v>
      </c>
      <c r="S35" s="51">
        <f>22526+28403+8000</f>
        <v>58929</v>
      </c>
      <c r="T35" s="51" t="s">
        <v>111</v>
      </c>
      <c r="U35" s="51" t="s">
        <v>111</v>
      </c>
      <c r="V35" s="51">
        <f t="shared" si="10"/>
        <v>64652</v>
      </c>
      <c r="W35" s="51">
        <f t="shared" si="6"/>
        <v>16030453</v>
      </c>
      <c r="X35" s="51">
        <v>16030453</v>
      </c>
      <c r="Y35" s="51">
        <f t="shared" si="5"/>
        <v>0</v>
      </c>
      <c r="Z35" s="50" t="str">
        <f>'1.2'!F34</f>
        <v>2318-ОЗ</v>
      </c>
      <c r="AA35" s="58">
        <f>'1.1'!H34</f>
        <v>44924</v>
      </c>
      <c r="AB35" s="233">
        <v>8</v>
      </c>
      <c r="AC35" s="233" t="s">
        <v>111</v>
      </c>
      <c r="AD35" s="107" t="s">
        <v>111</v>
      </c>
      <c r="AE35" s="198"/>
      <c r="AF35" s="175"/>
      <c r="AG35" s="175"/>
      <c r="AH35" s="175"/>
      <c r="AI35" s="175"/>
      <c r="AJ35" s="175"/>
    </row>
    <row r="36" spans="1:36" ht="15" customHeight="1">
      <c r="A36" s="107" t="s">
        <v>546</v>
      </c>
      <c r="B36" s="46" t="s">
        <v>419</v>
      </c>
      <c r="C36" s="47">
        <f t="shared" si="3"/>
        <v>1</v>
      </c>
      <c r="D36" s="47"/>
      <c r="E36" s="48">
        <f t="shared" si="9"/>
        <v>1</v>
      </c>
      <c r="F36" s="58" t="s">
        <v>232</v>
      </c>
      <c r="G36" s="58" t="s">
        <v>121</v>
      </c>
      <c r="H36" s="51">
        <v>13838700.699999999</v>
      </c>
      <c r="I36" s="51">
        <f>9857365.6+20000</f>
        <v>9877365.5999999996</v>
      </c>
      <c r="J36" s="51">
        <v>1885500.6</v>
      </c>
      <c r="K36" s="51">
        <v>2075834.5</v>
      </c>
      <c r="L36" s="51" t="s">
        <v>111</v>
      </c>
      <c r="M36" s="51">
        <f t="shared" si="7"/>
        <v>13838700.699999999</v>
      </c>
      <c r="N36" s="51">
        <f t="shared" si="1"/>
        <v>0</v>
      </c>
      <c r="O36" s="53" t="s">
        <v>122</v>
      </c>
      <c r="P36" s="51" t="s">
        <v>111</v>
      </c>
      <c r="Q36" s="51" t="s">
        <v>111</v>
      </c>
      <c r="R36" s="51" t="s">
        <v>111</v>
      </c>
      <c r="S36" s="51" t="s">
        <v>111</v>
      </c>
      <c r="T36" s="51" t="s">
        <v>111</v>
      </c>
      <c r="U36" s="51" t="s">
        <v>111</v>
      </c>
      <c r="V36" s="51">
        <f t="shared" si="10"/>
        <v>0</v>
      </c>
      <c r="W36" s="51">
        <f t="shared" si="6"/>
        <v>13838700.699999999</v>
      </c>
      <c r="X36" s="51">
        <v>42492757.199999988</v>
      </c>
      <c r="Y36" s="51">
        <f t="shared" si="5"/>
        <v>28654056.499999989</v>
      </c>
      <c r="Z36" s="50" t="str">
        <f>'1.2'!F35</f>
        <v>666-104</v>
      </c>
      <c r="AA36" s="58">
        <f>'1.1'!H35</f>
        <v>44888</v>
      </c>
      <c r="AB36" s="233" t="s">
        <v>215</v>
      </c>
      <c r="AC36" s="233" t="s">
        <v>111</v>
      </c>
      <c r="AD36" s="107" t="s">
        <v>614</v>
      </c>
      <c r="AE36" s="198" t="s">
        <v>111</v>
      </c>
      <c r="AF36" s="175"/>
      <c r="AG36" s="175"/>
      <c r="AH36" s="175"/>
      <c r="AI36" s="175"/>
      <c r="AJ36" s="175"/>
    </row>
    <row r="37" spans="1:36" ht="15" customHeight="1">
      <c r="A37" s="107" t="s">
        <v>28</v>
      </c>
      <c r="B37" s="46" t="s">
        <v>419</v>
      </c>
      <c r="C37" s="47">
        <f t="shared" si="3"/>
        <v>1</v>
      </c>
      <c r="D37" s="47"/>
      <c r="E37" s="48">
        <f t="shared" si="9"/>
        <v>1</v>
      </c>
      <c r="F37" s="58" t="s">
        <v>232</v>
      </c>
      <c r="G37" s="58" t="s">
        <v>121</v>
      </c>
      <c r="H37" s="51">
        <v>1104496.2</v>
      </c>
      <c r="I37" s="51">
        <v>222331.2</v>
      </c>
      <c r="J37" s="51">
        <v>854603.2</v>
      </c>
      <c r="K37" s="51">
        <v>27561.8</v>
      </c>
      <c r="L37" s="51" t="s">
        <v>111</v>
      </c>
      <c r="M37" s="51">
        <f t="shared" si="7"/>
        <v>1104496.2</v>
      </c>
      <c r="N37" s="51">
        <f t="shared" si="1"/>
        <v>0</v>
      </c>
      <c r="O37" s="53" t="s">
        <v>122</v>
      </c>
      <c r="P37" s="51">
        <v>182.9</v>
      </c>
      <c r="Q37" s="51" t="s">
        <v>111</v>
      </c>
      <c r="R37" s="51" t="s">
        <v>111</v>
      </c>
      <c r="S37" s="51" t="s">
        <v>111</v>
      </c>
      <c r="T37" s="51">
        <v>31384.799999999999</v>
      </c>
      <c r="U37" s="51" t="s">
        <v>111</v>
      </c>
      <c r="V37" s="51">
        <f>SUM(P37:U37)</f>
        <v>31567.7</v>
      </c>
      <c r="W37" s="51">
        <f t="shared" si="6"/>
        <v>1136063.8999999999</v>
      </c>
      <c r="X37" s="51">
        <v>1379432.5</v>
      </c>
      <c r="Y37" s="51">
        <f t="shared" si="5"/>
        <v>243368.60000000009</v>
      </c>
      <c r="Z37" s="50" t="str">
        <f>'1.2'!F36</f>
        <v>372-ОЗ</v>
      </c>
      <c r="AA37" s="58">
        <f>'1.1'!H36</f>
        <v>44917</v>
      </c>
      <c r="AB37" s="233" t="s">
        <v>588</v>
      </c>
      <c r="AC37" s="233" t="s">
        <v>111</v>
      </c>
      <c r="AD37" s="107" t="s">
        <v>571</v>
      </c>
      <c r="AE37" s="198" t="s">
        <v>111</v>
      </c>
      <c r="AF37" s="175"/>
      <c r="AG37" s="175"/>
      <c r="AH37" s="175"/>
      <c r="AI37" s="175"/>
      <c r="AJ37" s="175"/>
    </row>
    <row r="38" spans="1:36" ht="15" customHeight="1">
      <c r="A38" s="120" t="s">
        <v>29</v>
      </c>
      <c r="B38" s="43"/>
      <c r="C38" s="43"/>
      <c r="D38" s="43"/>
      <c r="E38" s="43"/>
      <c r="F38" s="59"/>
      <c r="G38" s="59"/>
      <c r="H38" s="56"/>
      <c r="I38" s="56"/>
      <c r="J38" s="56"/>
      <c r="K38" s="56"/>
      <c r="L38" s="56"/>
      <c r="M38" s="56"/>
      <c r="N38" s="56"/>
      <c r="O38" s="56"/>
      <c r="P38" s="56"/>
      <c r="Q38" s="56"/>
      <c r="R38" s="56"/>
      <c r="S38" s="56"/>
      <c r="T38" s="56"/>
      <c r="U38" s="56"/>
      <c r="V38" s="56"/>
      <c r="W38" s="56"/>
      <c r="X38" s="56"/>
      <c r="Y38" s="56"/>
      <c r="Z38" s="239"/>
      <c r="AA38" s="59"/>
      <c r="AB38" s="45"/>
      <c r="AC38" s="45"/>
      <c r="AD38" s="120"/>
      <c r="AE38" s="198"/>
      <c r="AF38" s="175"/>
      <c r="AG38" s="175"/>
      <c r="AH38" s="175"/>
      <c r="AI38" s="175"/>
      <c r="AJ38" s="175"/>
    </row>
    <row r="39" spans="1:36" s="30" customFormat="1" ht="15" customHeight="1">
      <c r="A39" s="107" t="s">
        <v>30</v>
      </c>
      <c r="B39" s="46" t="s">
        <v>212</v>
      </c>
      <c r="C39" s="47">
        <f t="shared" si="3"/>
        <v>0</v>
      </c>
      <c r="D39" s="47"/>
      <c r="E39" s="48">
        <f t="shared" ref="E39:E45" si="11">C39*(1-D39)</f>
        <v>0</v>
      </c>
      <c r="F39" s="58" t="s">
        <v>249</v>
      </c>
      <c r="G39" s="52" t="s">
        <v>249</v>
      </c>
      <c r="H39" s="51" t="s">
        <v>111</v>
      </c>
      <c r="I39" s="51">
        <f>1157552+5000+10000</f>
        <v>1172552</v>
      </c>
      <c r="J39" s="51">
        <v>5820431.5999999996</v>
      </c>
      <c r="K39" s="189" t="s">
        <v>111</v>
      </c>
      <c r="L39" s="51">
        <v>289306.2</v>
      </c>
      <c r="M39" s="51">
        <f t="shared" si="7"/>
        <v>7282289.7999999998</v>
      </c>
      <c r="N39" s="51" t="s">
        <v>111</v>
      </c>
      <c r="O39" s="53" t="s">
        <v>111</v>
      </c>
      <c r="P39" s="51" t="s">
        <v>111</v>
      </c>
      <c r="Q39" s="51" t="s">
        <v>111</v>
      </c>
      <c r="R39" s="51" t="s">
        <v>111</v>
      </c>
      <c r="S39" s="189">
        <f>18556.6+23398.4+1500+23398.4</f>
        <v>66853.399999999994</v>
      </c>
      <c r="T39" s="51" t="s">
        <v>111</v>
      </c>
      <c r="U39" s="51" t="s">
        <v>111</v>
      </c>
      <c r="V39" s="51">
        <f t="shared" ref="V39:V99" si="12">SUM(P39:U39)</f>
        <v>66853.399999999994</v>
      </c>
      <c r="W39" s="163">
        <f t="shared" si="6"/>
        <v>7349143.2000000002</v>
      </c>
      <c r="X39" s="163">
        <v>12152288.5</v>
      </c>
      <c r="Y39" s="163">
        <f t="shared" ref="Y39:Y46" si="13">X39-W39</f>
        <v>4803145.3</v>
      </c>
      <c r="Z39" s="136">
        <f>'1.2'!F38</f>
        <v>140</v>
      </c>
      <c r="AA39" s="170">
        <f>'1.1'!H38</f>
        <v>44907</v>
      </c>
      <c r="AB39" s="234" t="s">
        <v>445</v>
      </c>
      <c r="AC39" s="234">
        <v>18</v>
      </c>
      <c r="AD39" s="107" t="s">
        <v>661</v>
      </c>
      <c r="AE39" s="198" t="s">
        <v>111</v>
      </c>
      <c r="AF39" s="184"/>
      <c r="AG39" s="177"/>
      <c r="AH39" s="177"/>
      <c r="AI39" s="177"/>
      <c r="AJ39" s="177"/>
    </row>
    <row r="40" spans="1:36" s="30" customFormat="1" ht="15" customHeight="1">
      <c r="A40" s="107" t="s">
        <v>31</v>
      </c>
      <c r="B40" s="107" t="s">
        <v>418</v>
      </c>
      <c r="C40" s="110">
        <f t="shared" si="3"/>
        <v>2</v>
      </c>
      <c r="D40" s="110"/>
      <c r="E40" s="182">
        <f t="shared" si="11"/>
        <v>2</v>
      </c>
      <c r="F40" s="170" t="s">
        <v>239</v>
      </c>
      <c r="G40" s="170" t="s">
        <v>121</v>
      </c>
      <c r="H40" s="163" t="s">
        <v>111</v>
      </c>
      <c r="I40" s="51" t="s">
        <v>111</v>
      </c>
      <c r="J40" s="51">
        <v>4491222.0999999996</v>
      </c>
      <c r="K40" s="51">
        <v>3487754.5</v>
      </c>
      <c r="L40" s="51">
        <v>548730.4</v>
      </c>
      <c r="M40" s="51">
        <f>SUM(I40:L40)</f>
        <v>8527707</v>
      </c>
      <c r="N40" s="51" t="s">
        <v>111</v>
      </c>
      <c r="O40" s="53" t="s">
        <v>251</v>
      </c>
      <c r="P40" s="51" t="s">
        <v>111</v>
      </c>
      <c r="Q40" s="51" t="s">
        <v>111</v>
      </c>
      <c r="R40" s="51" t="s">
        <v>111</v>
      </c>
      <c r="S40" s="51" t="s">
        <v>111</v>
      </c>
      <c r="T40" s="51" t="s">
        <v>111</v>
      </c>
      <c r="U40" s="51" t="s">
        <v>111</v>
      </c>
      <c r="V40" s="51">
        <f t="shared" si="12"/>
        <v>0</v>
      </c>
      <c r="W40" s="51">
        <f t="shared" si="6"/>
        <v>8527707</v>
      </c>
      <c r="X40" s="51">
        <v>8527706.9999999981</v>
      </c>
      <c r="Y40" s="51">
        <f t="shared" si="13"/>
        <v>0</v>
      </c>
      <c r="Z40" s="50" t="str">
        <f>'1.2'!F39</f>
        <v>263-VI-З</v>
      </c>
      <c r="AA40" s="58">
        <f>'1.1'!H39</f>
        <v>44910</v>
      </c>
      <c r="AB40" s="233" t="s">
        <v>221</v>
      </c>
      <c r="AC40" s="233">
        <v>10</v>
      </c>
      <c r="AD40" s="107" t="s">
        <v>603</v>
      </c>
      <c r="AE40" s="198" t="s">
        <v>111</v>
      </c>
      <c r="AF40" s="177"/>
      <c r="AG40" s="177"/>
      <c r="AH40" s="177"/>
      <c r="AI40" s="177"/>
      <c r="AJ40" s="177"/>
    </row>
    <row r="41" spans="1:36" s="30" customFormat="1" ht="15" customHeight="1">
      <c r="A41" s="107" t="s">
        <v>87</v>
      </c>
      <c r="B41" s="46" t="s">
        <v>418</v>
      </c>
      <c r="C41" s="47">
        <f t="shared" si="3"/>
        <v>2</v>
      </c>
      <c r="D41" s="47"/>
      <c r="E41" s="48">
        <f t="shared" si="11"/>
        <v>2</v>
      </c>
      <c r="F41" s="58" t="s">
        <v>239</v>
      </c>
      <c r="G41" s="58" t="s">
        <v>121</v>
      </c>
      <c r="H41" s="51" t="s">
        <v>111</v>
      </c>
      <c r="I41" s="51">
        <f>1553740474/1000</f>
        <v>1553740.4739999999</v>
      </c>
      <c r="J41" s="51">
        <f>10443654311.48/1000</f>
        <v>10443654.311479999</v>
      </c>
      <c r="K41" s="51">
        <f>27116427563.76/1000</f>
        <v>27116427.563759997</v>
      </c>
      <c r="L41" s="51">
        <f>89000000/1000</f>
        <v>89000</v>
      </c>
      <c r="M41" s="51">
        <f t="shared" si="7"/>
        <v>39202822.349239998</v>
      </c>
      <c r="N41" s="51" t="s">
        <v>111</v>
      </c>
      <c r="O41" s="53" t="s">
        <v>121</v>
      </c>
      <c r="P41" s="51">
        <f>3167400/1000</f>
        <v>3167.4</v>
      </c>
      <c r="Q41" s="51" t="s">
        <v>111</v>
      </c>
      <c r="R41" s="51" t="s">
        <v>111</v>
      </c>
      <c r="S41" s="51">
        <f>886009800/1000</f>
        <v>886009.8</v>
      </c>
      <c r="T41" s="51" t="s">
        <v>111</v>
      </c>
      <c r="U41" s="51" t="s">
        <v>111</v>
      </c>
      <c r="V41" s="51">
        <f t="shared" si="12"/>
        <v>889177.20000000007</v>
      </c>
      <c r="W41" s="51">
        <f t="shared" si="6"/>
        <v>40091999.549240001</v>
      </c>
      <c r="X41" s="51">
        <v>40091999.549240008</v>
      </c>
      <c r="Y41" s="51">
        <f t="shared" si="13"/>
        <v>0</v>
      </c>
      <c r="Z41" s="50" t="str">
        <f>'1.2'!F40</f>
        <v>355-ЗРК/2022</v>
      </c>
      <c r="AA41" s="58">
        <f>'1.1'!H40</f>
        <v>44910</v>
      </c>
      <c r="AB41" s="233" t="s">
        <v>217</v>
      </c>
      <c r="AC41" s="233" t="s">
        <v>446</v>
      </c>
      <c r="AD41" s="107" t="s">
        <v>111</v>
      </c>
      <c r="AE41" s="198" t="s">
        <v>111</v>
      </c>
      <c r="AF41" s="177"/>
      <c r="AG41" s="177"/>
      <c r="AH41" s="177"/>
      <c r="AI41" s="177"/>
      <c r="AJ41" s="177"/>
    </row>
    <row r="42" spans="1:36" s="33" customFormat="1" ht="15" customHeight="1">
      <c r="A42" s="107" t="s">
        <v>32</v>
      </c>
      <c r="B42" s="46" t="s">
        <v>418</v>
      </c>
      <c r="C42" s="47">
        <f t="shared" si="3"/>
        <v>2</v>
      </c>
      <c r="D42" s="47"/>
      <c r="E42" s="48">
        <f t="shared" si="11"/>
        <v>2</v>
      </c>
      <c r="F42" s="58" t="s">
        <v>239</v>
      </c>
      <c r="G42" s="58" t="s">
        <v>121</v>
      </c>
      <c r="H42" s="51">
        <v>165280156.59999999</v>
      </c>
      <c r="I42" s="51">
        <v>10242673.699999999</v>
      </c>
      <c r="J42" s="51">
        <v>85031907.700000003</v>
      </c>
      <c r="K42" s="51">
        <v>68044544.599999994</v>
      </c>
      <c r="L42" s="51">
        <v>1961030.6</v>
      </c>
      <c r="M42" s="51">
        <f>SUM(I42:L42)</f>
        <v>165280156.59999999</v>
      </c>
      <c r="N42" s="51">
        <f t="shared" si="1"/>
        <v>0</v>
      </c>
      <c r="O42" s="53" t="s">
        <v>121</v>
      </c>
      <c r="P42" s="51">
        <v>2652.5</v>
      </c>
      <c r="Q42" s="51" t="s">
        <v>111</v>
      </c>
      <c r="R42" s="51" t="s">
        <v>111</v>
      </c>
      <c r="S42" s="51">
        <v>11083548.300000001</v>
      </c>
      <c r="T42" s="51" t="s">
        <v>111</v>
      </c>
      <c r="U42" s="51">
        <v>2639</v>
      </c>
      <c r="V42" s="51">
        <f t="shared" si="12"/>
        <v>11088839.800000001</v>
      </c>
      <c r="W42" s="51">
        <f t="shared" si="6"/>
        <v>176368996.40000001</v>
      </c>
      <c r="X42" s="51">
        <v>176368996.39999995</v>
      </c>
      <c r="Y42" s="51">
        <f t="shared" si="13"/>
        <v>0</v>
      </c>
      <c r="Z42" s="50" t="str">
        <f>'1.2'!F41</f>
        <v>4825-КЗ</v>
      </c>
      <c r="AA42" s="58">
        <f>'1.1'!H41</f>
        <v>44918</v>
      </c>
      <c r="AB42" s="233" t="s">
        <v>216</v>
      </c>
      <c r="AC42" s="233" t="s">
        <v>217</v>
      </c>
      <c r="AD42" s="107" t="s">
        <v>111</v>
      </c>
      <c r="AE42" s="198"/>
      <c r="AF42" s="178"/>
      <c r="AG42" s="244"/>
      <c r="AH42" s="178"/>
      <c r="AI42" s="178"/>
      <c r="AJ42" s="178"/>
    </row>
    <row r="43" spans="1:36" s="7" customFormat="1" ht="15" customHeight="1">
      <c r="A43" s="107" t="s">
        <v>33</v>
      </c>
      <c r="B43" s="46" t="s">
        <v>419</v>
      </c>
      <c r="C43" s="47">
        <f t="shared" si="3"/>
        <v>1</v>
      </c>
      <c r="D43" s="47">
        <v>0.5</v>
      </c>
      <c r="E43" s="48">
        <f t="shared" si="11"/>
        <v>0.5</v>
      </c>
      <c r="F43" s="58" t="s">
        <v>232</v>
      </c>
      <c r="G43" s="58" t="s">
        <v>121</v>
      </c>
      <c r="H43" s="51" t="s">
        <v>111</v>
      </c>
      <c r="I43" s="51">
        <f>494683.5+99134</f>
        <v>593817.5</v>
      </c>
      <c r="J43" s="51">
        <f>5643324.2+146752.2+790.1+3759.7+2203.3+239.1+248.3</f>
        <v>5797316.8999999994</v>
      </c>
      <c r="K43" s="51">
        <f>10248630.7+27209.6</f>
        <v>10275840.299999999</v>
      </c>
      <c r="L43" s="51">
        <f>1295941.9+202862.7</f>
        <v>1498804.5999999999</v>
      </c>
      <c r="M43" s="51">
        <f t="shared" si="7"/>
        <v>18165779.300000001</v>
      </c>
      <c r="N43" s="51" t="s">
        <v>111</v>
      </c>
      <c r="O43" s="53" t="s">
        <v>249</v>
      </c>
      <c r="P43" s="51">
        <v>936.6</v>
      </c>
      <c r="Q43" s="51" t="s">
        <v>111</v>
      </c>
      <c r="R43" s="189">
        <v>4967693.2</v>
      </c>
      <c r="S43" s="51">
        <f>700960.3+883854.9</f>
        <v>1584815.2000000002</v>
      </c>
      <c r="T43" s="51" t="s">
        <v>111</v>
      </c>
      <c r="U43" s="51" t="s">
        <v>111</v>
      </c>
      <c r="V43" s="51">
        <f>SUM(P43:U43)</f>
        <v>6553445</v>
      </c>
      <c r="W43" s="51">
        <f>M43+V43</f>
        <v>24719224.300000001</v>
      </c>
      <c r="X43" s="51">
        <v>19761531.099999998</v>
      </c>
      <c r="Y43" s="51">
        <f t="shared" si="13"/>
        <v>-4957693.200000003</v>
      </c>
      <c r="Z43" s="50" t="str">
        <f>'1.2'!F42</f>
        <v>93/2022-ОЗ</v>
      </c>
      <c r="AA43" s="58">
        <f>'1.1'!H42</f>
        <v>44910</v>
      </c>
      <c r="AB43" s="233" t="s">
        <v>591</v>
      </c>
      <c r="AC43" s="233" t="s">
        <v>111</v>
      </c>
      <c r="AD43" s="107" t="s">
        <v>573</v>
      </c>
      <c r="AE43" s="198" t="s">
        <v>111</v>
      </c>
      <c r="AF43" s="176"/>
      <c r="AG43" s="176"/>
      <c r="AH43" s="176"/>
      <c r="AI43" s="176"/>
      <c r="AJ43" s="176"/>
    </row>
    <row r="44" spans="1:36" s="30" customFormat="1" ht="15" customHeight="1">
      <c r="A44" s="107" t="s">
        <v>34</v>
      </c>
      <c r="B44" s="46" t="s">
        <v>212</v>
      </c>
      <c r="C44" s="47">
        <f t="shared" si="3"/>
        <v>0</v>
      </c>
      <c r="D44" s="47"/>
      <c r="E44" s="48">
        <f t="shared" si="11"/>
        <v>0</v>
      </c>
      <c r="F44" s="58" t="s">
        <v>122</v>
      </c>
      <c r="G44" s="58" t="s">
        <v>122</v>
      </c>
      <c r="H44" s="51" t="s">
        <v>111</v>
      </c>
      <c r="I44" s="51" t="s">
        <v>111</v>
      </c>
      <c r="J44" s="51" t="s">
        <v>111</v>
      </c>
      <c r="K44" s="51" t="s">
        <v>111</v>
      </c>
      <c r="L44" s="51" t="s">
        <v>111</v>
      </c>
      <c r="M44" s="51">
        <f t="shared" si="7"/>
        <v>0</v>
      </c>
      <c r="N44" s="51" t="s">
        <v>111</v>
      </c>
      <c r="O44" s="53" t="s">
        <v>111</v>
      </c>
      <c r="P44" s="51">
        <v>2704.8</v>
      </c>
      <c r="Q44" s="51" t="s">
        <v>111</v>
      </c>
      <c r="R44" s="51" t="s">
        <v>111</v>
      </c>
      <c r="S44" s="51">
        <v>52933.4</v>
      </c>
      <c r="T44" s="51" t="s">
        <v>111</v>
      </c>
      <c r="U44" s="51" t="s">
        <v>111</v>
      </c>
      <c r="V44" s="51">
        <f>SUBTOTAL(9,P44:U44)</f>
        <v>55638.200000000004</v>
      </c>
      <c r="W44" s="51">
        <f t="shared" si="6"/>
        <v>55638.200000000004</v>
      </c>
      <c r="X44" s="51">
        <v>55674488.599999987</v>
      </c>
      <c r="Y44" s="51">
        <f>X44-W44</f>
        <v>55618850.399999984</v>
      </c>
      <c r="Z44" s="50" t="str">
        <f>'1.2'!F43</f>
        <v>122-ОД</v>
      </c>
      <c r="AA44" s="58">
        <f>'1.1'!H43</f>
        <v>44900</v>
      </c>
      <c r="AB44" s="233" t="s">
        <v>572</v>
      </c>
      <c r="AC44" s="233" t="s">
        <v>111</v>
      </c>
      <c r="AD44" s="107" t="s">
        <v>615</v>
      </c>
      <c r="AE44" s="198" t="s">
        <v>111</v>
      </c>
      <c r="AF44" s="177"/>
      <c r="AG44" s="177"/>
      <c r="AH44" s="177"/>
      <c r="AI44" s="177"/>
      <c r="AJ44" s="177"/>
    </row>
    <row r="45" spans="1:36" s="30" customFormat="1" ht="15" customHeight="1">
      <c r="A45" s="107" t="s">
        <v>35</v>
      </c>
      <c r="B45" s="46" t="s">
        <v>418</v>
      </c>
      <c r="C45" s="47">
        <f t="shared" si="3"/>
        <v>2</v>
      </c>
      <c r="D45" s="47"/>
      <c r="E45" s="48">
        <f t="shared" si="11"/>
        <v>2</v>
      </c>
      <c r="F45" s="58" t="s">
        <v>239</v>
      </c>
      <c r="G45" s="58" t="s">
        <v>121</v>
      </c>
      <c r="H45" s="51">
        <v>141959463.09999999</v>
      </c>
      <c r="I45" s="51">
        <v>13193866.4</v>
      </c>
      <c r="J45" s="51">
        <v>41191658.700000003</v>
      </c>
      <c r="K45" s="51">
        <v>81710763.299999997</v>
      </c>
      <c r="L45" s="51">
        <v>5863174.7000000002</v>
      </c>
      <c r="M45" s="51">
        <f>SUM(I45:L45)</f>
        <v>141959463.09999999</v>
      </c>
      <c r="N45" s="51">
        <f t="shared" si="1"/>
        <v>0</v>
      </c>
      <c r="O45" s="53" t="s">
        <v>121</v>
      </c>
      <c r="P45" s="51" t="s">
        <v>111</v>
      </c>
      <c r="Q45" s="51" t="s">
        <v>111</v>
      </c>
      <c r="R45" s="51" t="s">
        <v>111</v>
      </c>
      <c r="S45" s="51">
        <v>5812951.5999999996</v>
      </c>
      <c r="T45" s="51" t="s">
        <v>111</v>
      </c>
      <c r="U45" s="51" t="s">
        <v>111</v>
      </c>
      <c r="V45" s="51">
        <f t="shared" si="12"/>
        <v>5812951.5999999996</v>
      </c>
      <c r="W45" s="51">
        <f t="shared" si="6"/>
        <v>147772414.69999999</v>
      </c>
      <c r="X45" s="51">
        <v>147772414.70000005</v>
      </c>
      <c r="Y45" s="51">
        <f t="shared" si="13"/>
        <v>0</v>
      </c>
      <c r="Z45" s="50" t="str">
        <f>'1.2'!F44</f>
        <v>795-ЗС</v>
      </c>
      <c r="AA45" s="58">
        <f>'1.1'!H44</f>
        <v>44911</v>
      </c>
      <c r="AB45" s="233">
        <v>7</v>
      </c>
      <c r="AC45" s="233" t="s">
        <v>111</v>
      </c>
      <c r="AD45" s="107" t="s">
        <v>111</v>
      </c>
      <c r="AE45" s="198"/>
      <c r="AF45" s="177"/>
      <c r="AG45" s="177"/>
      <c r="AH45" s="177"/>
      <c r="AI45" s="177"/>
      <c r="AJ45" s="177"/>
    </row>
    <row r="46" spans="1:36" s="30" customFormat="1" ht="15" customHeight="1">
      <c r="A46" s="107" t="s">
        <v>222</v>
      </c>
      <c r="B46" s="46" t="s">
        <v>419</v>
      </c>
      <c r="C46" s="47">
        <f t="shared" si="3"/>
        <v>1</v>
      </c>
      <c r="D46" s="47"/>
      <c r="E46" s="48">
        <f>C46*(1-D46)</f>
        <v>1</v>
      </c>
      <c r="F46" s="58" t="s">
        <v>232</v>
      </c>
      <c r="G46" s="58" t="s">
        <v>121</v>
      </c>
      <c r="H46" s="51" t="s">
        <v>111</v>
      </c>
      <c r="I46" s="51">
        <f>112301.1</f>
        <v>112301.1</v>
      </c>
      <c r="J46" s="51" t="s">
        <v>111</v>
      </c>
      <c r="K46" s="51">
        <f>37949+1767.6</f>
        <v>39716.6</v>
      </c>
      <c r="L46" s="51" t="s">
        <v>111</v>
      </c>
      <c r="M46" s="51">
        <f t="shared" si="7"/>
        <v>152017.70000000001</v>
      </c>
      <c r="N46" s="51" t="s">
        <v>111</v>
      </c>
      <c r="O46" s="53" t="s">
        <v>249</v>
      </c>
      <c r="P46" s="51" t="s">
        <v>111</v>
      </c>
      <c r="Q46" s="51" t="s">
        <v>111</v>
      </c>
      <c r="R46" s="51" t="s">
        <v>111</v>
      </c>
      <c r="S46" s="51">
        <v>120308.7</v>
      </c>
      <c r="T46" s="189">
        <v>2303438.9</v>
      </c>
      <c r="U46" s="51" t="s">
        <v>111</v>
      </c>
      <c r="V46" s="51">
        <f t="shared" si="12"/>
        <v>2423747.6</v>
      </c>
      <c r="W46" s="51">
        <f t="shared" si="6"/>
        <v>2575765.3000000003</v>
      </c>
      <c r="X46" s="51">
        <v>276123.09999999998</v>
      </c>
      <c r="Y46" s="51">
        <f t="shared" si="13"/>
        <v>-2299642.2000000002</v>
      </c>
      <c r="Z46" s="50" t="str">
        <f>'1.2'!F45</f>
        <v>728-ЗС</v>
      </c>
      <c r="AA46" s="58">
        <f>'1.1'!H45</f>
        <v>44915</v>
      </c>
      <c r="AB46" s="233" t="s">
        <v>447</v>
      </c>
      <c r="AC46" s="233" t="s">
        <v>111</v>
      </c>
      <c r="AD46" s="107" t="s">
        <v>574</v>
      </c>
      <c r="AE46" s="213" t="s">
        <v>111</v>
      </c>
      <c r="AF46" s="177"/>
      <c r="AG46" s="177"/>
      <c r="AH46" s="177"/>
      <c r="AI46" s="177"/>
      <c r="AJ46" s="177"/>
    </row>
    <row r="47" spans="1:36" ht="15" customHeight="1">
      <c r="A47" s="120" t="s">
        <v>36</v>
      </c>
      <c r="B47" s="43"/>
      <c r="C47" s="43"/>
      <c r="D47" s="43"/>
      <c r="E47" s="43"/>
      <c r="F47" s="59"/>
      <c r="G47" s="59"/>
      <c r="H47" s="56"/>
      <c r="I47" s="56"/>
      <c r="J47" s="56"/>
      <c r="K47" s="56"/>
      <c r="L47" s="56"/>
      <c r="M47" s="56"/>
      <c r="N47" s="56"/>
      <c r="O47" s="56"/>
      <c r="P47" s="56"/>
      <c r="Q47" s="56"/>
      <c r="R47" s="56"/>
      <c r="S47" s="56"/>
      <c r="T47" s="56"/>
      <c r="U47" s="56"/>
      <c r="V47" s="56"/>
      <c r="W47" s="56"/>
      <c r="X47" s="56"/>
      <c r="Y47" s="56"/>
      <c r="Z47" s="239"/>
      <c r="AA47" s="59"/>
      <c r="AB47" s="45"/>
      <c r="AC47" s="45"/>
      <c r="AD47" s="120"/>
      <c r="AE47" s="198"/>
      <c r="AF47" s="183"/>
      <c r="AG47" s="175"/>
      <c r="AH47" s="175"/>
      <c r="AI47" s="175"/>
      <c r="AJ47" s="175"/>
    </row>
    <row r="48" spans="1:36" s="30" customFormat="1" ht="15" customHeight="1">
      <c r="A48" s="107" t="s">
        <v>37</v>
      </c>
      <c r="B48" s="46" t="s">
        <v>212</v>
      </c>
      <c r="C48" s="47">
        <f t="shared" si="3"/>
        <v>0</v>
      </c>
      <c r="D48" s="47"/>
      <c r="E48" s="48">
        <f t="shared" ref="E48:E54" si="14">C48*(1-D48)</f>
        <v>0</v>
      </c>
      <c r="F48" s="58" t="s">
        <v>122</v>
      </c>
      <c r="G48" s="58" t="s">
        <v>122</v>
      </c>
      <c r="H48" s="51" t="s">
        <v>111</v>
      </c>
      <c r="I48" s="51" t="s">
        <v>111</v>
      </c>
      <c r="J48" s="51">
        <v>16622894.232000001</v>
      </c>
      <c r="K48" s="51" t="s">
        <v>111</v>
      </c>
      <c r="L48" s="51" t="s">
        <v>111</v>
      </c>
      <c r="M48" s="51">
        <f t="shared" si="7"/>
        <v>16622894.232000001</v>
      </c>
      <c r="N48" s="51" t="s">
        <v>111</v>
      </c>
      <c r="O48" s="53" t="s">
        <v>122</v>
      </c>
      <c r="P48" s="51" t="s">
        <v>111</v>
      </c>
      <c r="Q48" s="51" t="s">
        <v>111</v>
      </c>
      <c r="R48" s="51" t="s">
        <v>111</v>
      </c>
      <c r="S48" s="51" t="s">
        <v>111</v>
      </c>
      <c r="T48" s="51" t="s">
        <v>111</v>
      </c>
      <c r="U48" s="51" t="s">
        <v>111</v>
      </c>
      <c r="V48" s="51">
        <v>0</v>
      </c>
      <c r="W48" s="51">
        <f t="shared" si="6"/>
        <v>16622894.232000001</v>
      </c>
      <c r="X48" s="51">
        <v>70288610.440000013</v>
      </c>
      <c r="Y48" s="51">
        <f t="shared" ref="Y48:Y49" si="15">X48-W48</f>
        <v>53665716.208000012</v>
      </c>
      <c r="Z48" s="50">
        <f>'1.2'!F47</f>
        <v>95</v>
      </c>
      <c r="AA48" s="58">
        <f>'1.1'!H47</f>
        <v>44907</v>
      </c>
      <c r="AB48" s="233">
        <v>8</v>
      </c>
      <c r="AC48" s="233">
        <v>19</v>
      </c>
      <c r="AD48" s="107" t="s">
        <v>597</v>
      </c>
      <c r="AE48" s="198" t="s">
        <v>111</v>
      </c>
      <c r="AF48" s="177"/>
      <c r="AG48" s="177"/>
      <c r="AH48" s="177"/>
      <c r="AI48" s="177"/>
      <c r="AJ48" s="177"/>
    </row>
    <row r="49" spans="1:37" ht="15" customHeight="1">
      <c r="A49" s="107" t="s">
        <v>38</v>
      </c>
      <c r="B49" s="46" t="s">
        <v>212</v>
      </c>
      <c r="C49" s="47">
        <f t="shared" si="3"/>
        <v>0</v>
      </c>
      <c r="D49" s="47"/>
      <c r="E49" s="48">
        <f t="shared" si="14"/>
        <v>0</v>
      </c>
      <c r="F49" s="58" t="s">
        <v>122</v>
      </c>
      <c r="G49" s="58" t="s">
        <v>122</v>
      </c>
      <c r="H49" s="51" t="s">
        <v>111</v>
      </c>
      <c r="I49" s="51">
        <f>831684.8+50000+20000</f>
        <v>901684.8</v>
      </c>
      <c r="J49" s="51">
        <f>13180.3+19434+5000+3460.9+18364.1</f>
        <v>59439.3</v>
      </c>
      <c r="K49" s="51" t="s">
        <v>111</v>
      </c>
      <c r="L49" s="51" t="s">
        <v>111</v>
      </c>
      <c r="M49" s="51">
        <f t="shared" si="7"/>
        <v>961124.10000000009</v>
      </c>
      <c r="N49" s="51" t="s">
        <v>111</v>
      </c>
      <c r="O49" s="53" t="s">
        <v>249</v>
      </c>
      <c r="P49" s="51" t="s">
        <v>111</v>
      </c>
      <c r="Q49" s="51" t="s">
        <v>111</v>
      </c>
      <c r="R49" s="189">
        <v>1359896.9</v>
      </c>
      <c r="S49" s="51" t="s">
        <v>111</v>
      </c>
      <c r="T49" s="51" t="s">
        <v>111</v>
      </c>
      <c r="U49" s="51" t="s">
        <v>111</v>
      </c>
      <c r="V49" s="51">
        <f t="shared" si="12"/>
        <v>1359896.9</v>
      </c>
      <c r="W49" s="51">
        <f t="shared" si="6"/>
        <v>2321021</v>
      </c>
      <c r="X49" s="51">
        <v>1503982.1</v>
      </c>
      <c r="Y49" s="51">
        <f t="shared" si="15"/>
        <v>-817038.89999999991</v>
      </c>
      <c r="Z49" s="50" t="str">
        <f>'1.2'!F48</f>
        <v>71-РЗ</v>
      </c>
      <c r="AA49" s="58">
        <f>'1.1'!H48</f>
        <v>44922</v>
      </c>
      <c r="AB49" s="233" t="s">
        <v>159</v>
      </c>
      <c r="AC49" s="233" t="s">
        <v>448</v>
      </c>
      <c r="AD49" s="107" t="s">
        <v>647</v>
      </c>
      <c r="AE49" s="198" t="s">
        <v>111</v>
      </c>
      <c r="AF49" s="175"/>
      <c r="AG49" s="175"/>
      <c r="AH49" s="175"/>
      <c r="AI49" s="175"/>
      <c r="AJ49" s="175"/>
    </row>
    <row r="50" spans="1:37" ht="14.5" customHeight="1">
      <c r="A50" s="107" t="s">
        <v>39</v>
      </c>
      <c r="B50" s="46" t="s">
        <v>418</v>
      </c>
      <c r="C50" s="47">
        <f t="shared" si="3"/>
        <v>2</v>
      </c>
      <c r="D50" s="47"/>
      <c r="E50" s="48">
        <f t="shared" si="14"/>
        <v>2</v>
      </c>
      <c r="F50" s="58" t="s">
        <v>239</v>
      </c>
      <c r="G50" s="58" t="s">
        <v>121</v>
      </c>
      <c r="H50" s="51" t="s">
        <v>111</v>
      </c>
      <c r="I50" s="51">
        <v>677599</v>
      </c>
      <c r="J50" s="51">
        <v>4300117.8</v>
      </c>
      <c r="K50" s="51">
        <v>10028153.6</v>
      </c>
      <c r="L50" s="51">
        <v>77596</v>
      </c>
      <c r="M50" s="51">
        <f t="shared" si="7"/>
        <v>15083466.399999999</v>
      </c>
      <c r="N50" s="51" t="s">
        <v>111</v>
      </c>
      <c r="O50" s="53" t="s">
        <v>121</v>
      </c>
      <c r="P50" s="51">
        <v>393.4</v>
      </c>
      <c r="Q50" s="51" t="s">
        <v>111</v>
      </c>
      <c r="R50" s="51" t="s">
        <v>111</v>
      </c>
      <c r="S50" s="51">
        <v>973215.9</v>
      </c>
      <c r="T50" s="51" t="s">
        <v>111</v>
      </c>
      <c r="U50" s="51" t="s">
        <v>111</v>
      </c>
      <c r="V50" s="51">
        <f t="shared" si="12"/>
        <v>973609.3</v>
      </c>
      <c r="W50" s="51">
        <f t="shared" si="6"/>
        <v>16057075.699999999</v>
      </c>
      <c r="X50" s="51">
        <v>16057075.800000001</v>
      </c>
      <c r="Y50" s="51">
        <f>X50-W50</f>
        <v>0.10000000149011612</v>
      </c>
      <c r="Z50" s="50" t="str">
        <f>'1.2'!F49</f>
        <v>63-РЗ</v>
      </c>
      <c r="AA50" s="58">
        <f>'1.1'!H49</f>
        <v>44924</v>
      </c>
      <c r="AB50" s="233">
        <v>7</v>
      </c>
      <c r="AC50" s="233" t="s">
        <v>215</v>
      </c>
      <c r="AD50" s="107" t="s">
        <v>111</v>
      </c>
      <c r="AE50" s="198" t="s">
        <v>111</v>
      </c>
      <c r="AF50" s="175"/>
      <c r="AG50" s="175"/>
      <c r="AH50" s="175"/>
      <c r="AI50" s="175"/>
      <c r="AJ50" s="175"/>
    </row>
    <row r="51" spans="1:37" ht="15" customHeight="1">
      <c r="A51" s="107" t="s">
        <v>40</v>
      </c>
      <c r="B51" s="46" t="s">
        <v>212</v>
      </c>
      <c r="C51" s="47">
        <f t="shared" si="3"/>
        <v>0</v>
      </c>
      <c r="D51" s="47"/>
      <c r="E51" s="48">
        <f t="shared" si="14"/>
        <v>0</v>
      </c>
      <c r="F51" s="58" t="s">
        <v>249</v>
      </c>
      <c r="G51" s="58" t="s">
        <v>249</v>
      </c>
      <c r="H51" s="189">
        <v>14117900.5</v>
      </c>
      <c r="I51" s="189">
        <f>1171761.1</f>
        <v>1171761.1000000001</v>
      </c>
      <c r="J51" s="189">
        <v>2722363.2</v>
      </c>
      <c r="K51" s="189">
        <v>9838455.5</v>
      </c>
      <c r="L51" s="189">
        <v>381762.8</v>
      </c>
      <c r="M51" s="51">
        <f t="shared" si="7"/>
        <v>14114342.600000001</v>
      </c>
      <c r="N51" s="51">
        <f t="shared" si="1"/>
        <v>3557.8999999985099</v>
      </c>
      <c r="O51" s="53" t="s">
        <v>122</v>
      </c>
      <c r="P51" s="51" t="s">
        <v>111</v>
      </c>
      <c r="Q51" s="51" t="s">
        <v>111</v>
      </c>
      <c r="R51" s="51" t="s">
        <v>111</v>
      </c>
      <c r="S51" s="51" t="s">
        <v>111</v>
      </c>
      <c r="T51" s="51" t="s">
        <v>111</v>
      </c>
      <c r="U51" s="51" t="s">
        <v>111</v>
      </c>
      <c r="V51" s="51">
        <f t="shared" si="12"/>
        <v>0</v>
      </c>
      <c r="W51" s="51">
        <f t="shared" si="6"/>
        <v>14114342.600000001</v>
      </c>
      <c r="X51" s="51">
        <v>14598788.099999994</v>
      </c>
      <c r="Y51" s="51">
        <f>X51-W51</f>
        <v>484445.49999999255</v>
      </c>
      <c r="Z51" s="50" t="str">
        <f>'1.2'!F50</f>
        <v>98-РЗ</v>
      </c>
      <c r="AA51" s="58">
        <f>'1.1'!H50</f>
        <v>44924</v>
      </c>
      <c r="AB51" s="233">
        <v>13</v>
      </c>
      <c r="AC51" s="233" t="s">
        <v>111</v>
      </c>
      <c r="AD51" s="107" t="s">
        <v>660</v>
      </c>
      <c r="AE51" s="198" t="s">
        <v>111</v>
      </c>
      <c r="AF51" s="175"/>
      <c r="AG51" s="175"/>
      <c r="AH51" s="175"/>
      <c r="AI51" s="175"/>
      <c r="AJ51" s="175"/>
    </row>
    <row r="52" spans="1:37" s="30" customFormat="1" ht="15" customHeight="1">
      <c r="A52" s="107" t="s">
        <v>547</v>
      </c>
      <c r="B52" s="46" t="s">
        <v>212</v>
      </c>
      <c r="C52" s="47">
        <f t="shared" si="3"/>
        <v>0</v>
      </c>
      <c r="D52" s="47"/>
      <c r="E52" s="48">
        <f t="shared" si="14"/>
        <v>0</v>
      </c>
      <c r="F52" s="58" t="s">
        <v>122</v>
      </c>
      <c r="G52" s="58" t="s">
        <v>122</v>
      </c>
      <c r="H52" s="51">
        <v>10715863.1</v>
      </c>
      <c r="I52" s="51" t="s">
        <v>111</v>
      </c>
      <c r="J52" s="51" t="s">
        <v>111</v>
      </c>
      <c r="K52" s="51" t="s">
        <v>111</v>
      </c>
      <c r="L52" s="51" t="s">
        <v>111</v>
      </c>
      <c r="M52" s="51">
        <f t="shared" si="7"/>
        <v>0</v>
      </c>
      <c r="N52" s="51">
        <f>H52-M52</f>
        <v>10715863.1</v>
      </c>
      <c r="O52" s="53" t="s">
        <v>122</v>
      </c>
      <c r="P52" s="51" t="s">
        <v>111</v>
      </c>
      <c r="Q52" s="51" t="s">
        <v>111</v>
      </c>
      <c r="R52" s="51" t="s">
        <v>111</v>
      </c>
      <c r="S52" s="51" t="s">
        <v>111</v>
      </c>
      <c r="T52" s="51" t="s">
        <v>111</v>
      </c>
      <c r="U52" s="51" t="s">
        <v>111</v>
      </c>
      <c r="V52" s="51">
        <v>0</v>
      </c>
      <c r="W52" s="51">
        <f t="shared" si="6"/>
        <v>0</v>
      </c>
      <c r="X52" s="51">
        <v>8668010.5999999996</v>
      </c>
      <c r="Y52" s="51">
        <f>X52-W52</f>
        <v>8668010.5999999996</v>
      </c>
      <c r="Z52" s="50" t="str">
        <f>'1.2'!F51</f>
        <v>88-РЗ</v>
      </c>
      <c r="AA52" s="58">
        <f>'1.1'!H51</f>
        <v>44921</v>
      </c>
      <c r="AB52" s="233">
        <v>7</v>
      </c>
      <c r="AC52" s="233" t="s">
        <v>111</v>
      </c>
      <c r="AD52" s="107" t="s">
        <v>616</v>
      </c>
      <c r="AE52" s="198" t="s">
        <v>111</v>
      </c>
      <c r="AF52" s="177"/>
      <c r="AG52" s="177"/>
      <c r="AH52" s="177"/>
      <c r="AI52" s="177"/>
      <c r="AJ52" s="177"/>
    </row>
    <row r="53" spans="1:37" ht="15" customHeight="1">
      <c r="A53" s="107" t="s">
        <v>41</v>
      </c>
      <c r="B53" s="46" t="s">
        <v>212</v>
      </c>
      <c r="C53" s="47">
        <f t="shared" si="3"/>
        <v>0</v>
      </c>
      <c r="D53" s="47"/>
      <c r="E53" s="48">
        <f t="shared" si="14"/>
        <v>0</v>
      </c>
      <c r="F53" s="58" t="s">
        <v>249</v>
      </c>
      <c r="G53" s="58" t="s">
        <v>249</v>
      </c>
      <c r="H53" s="189">
        <v>38524014.5</v>
      </c>
      <c r="I53" s="189">
        <v>3643991.3</v>
      </c>
      <c r="J53" s="189">
        <v>3453755.3</v>
      </c>
      <c r="K53" s="189">
        <v>31043267.899999999</v>
      </c>
      <c r="L53" s="189">
        <v>383000</v>
      </c>
      <c r="M53" s="51">
        <f t="shared" si="7"/>
        <v>38524014.5</v>
      </c>
      <c r="N53" s="51">
        <f t="shared" si="1"/>
        <v>0</v>
      </c>
      <c r="O53" s="53" t="s">
        <v>111</v>
      </c>
      <c r="P53" s="189">
        <v>1131.9000000000001</v>
      </c>
      <c r="Q53" s="51" t="s">
        <v>111</v>
      </c>
      <c r="R53" s="51" t="s">
        <v>111</v>
      </c>
      <c r="S53" s="189">
        <f>2688110.7+15000</f>
        <v>2703110.7</v>
      </c>
      <c r="T53" s="51" t="s">
        <v>111</v>
      </c>
      <c r="U53" s="51" t="s">
        <v>111</v>
      </c>
      <c r="V53" s="51">
        <f t="shared" si="12"/>
        <v>2704242.6</v>
      </c>
      <c r="W53" s="51">
        <f t="shared" si="6"/>
        <v>41228257.100000001</v>
      </c>
      <c r="X53" s="51">
        <v>41227125.399999991</v>
      </c>
      <c r="Y53" s="51">
        <f>X53-W53</f>
        <v>-1131.7000000104308</v>
      </c>
      <c r="Z53" s="50" t="str">
        <f>'1.2'!F52</f>
        <v>75-РЗ</v>
      </c>
      <c r="AA53" s="58">
        <f>'1.1'!H52</f>
        <v>44922</v>
      </c>
      <c r="AB53" s="233">
        <v>7</v>
      </c>
      <c r="AC53" s="233" t="s">
        <v>111</v>
      </c>
      <c r="AD53" s="107" t="s">
        <v>632</v>
      </c>
      <c r="AE53" s="198" t="s">
        <v>111</v>
      </c>
      <c r="AF53" s="175"/>
      <c r="AG53" s="175"/>
      <c r="AH53" s="175"/>
      <c r="AI53" s="175"/>
      <c r="AJ53" s="175"/>
    </row>
    <row r="54" spans="1:37" ht="15" customHeight="1">
      <c r="A54" s="107" t="s">
        <v>42</v>
      </c>
      <c r="B54" s="46" t="s">
        <v>418</v>
      </c>
      <c r="C54" s="47">
        <f t="shared" si="3"/>
        <v>2</v>
      </c>
      <c r="D54" s="47"/>
      <c r="E54" s="48">
        <f t="shared" si="14"/>
        <v>2</v>
      </c>
      <c r="F54" s="58" t="s">
        <v>239</v>
      </c>
      <c r="G54" s="58" t="s">
        <v>121</v>
      </c>
      <c r="H54" s="51">
        <v>71907903.650000006</v>
      </c>
      <c r="I54" s="51">
        <v>11279038.77</v>
      </c>
      <c r="J54" s="51">
        <v>18480536.52</v>
      </c>
      <c r="K54" s="51">
        <v>41532457.960000001</v>
      </c>
      <c r="L54" s="51">
        <v>615870.4</v>
      </c>
      <c r="M54" s="51">
        <f t="shared" si="7"/>
        <v>71907903.650000006</v>
      </c>
      <c r="N54" s="51">
        <f t="shared" si="1"/>
        <v>0</v>
      </c>
      <c r="O54" s="53" t="s">
        <v>121</v>
      </c>
      <c r="P54" s="51">
        <v>4639.1000000000004</v>
      </c>
      <c r="Q54" s="51" t="s">
        <v>111</v>
      </c>
      <c r="R54" s="51" t="s">
        <v>111</v>
      </c>
      <c r="S54" s="51">
        <f>1223937.7+14965.53</f>
        <v>1238903.23</v>
      </c>
      <c r="T54" s="51">
        <v>33304.25</v>
      </c>
      <c r="U54" s="51" t="s">
        <v>111</v>
      </c>
      <c r="V54" s="51">
        <f t="shared" si="12"/>
        <v>1276846.58</v>
      </c>
      <c r="W54" s="51">
        <f t="shared" si="6"/>
        <v>73184750.230000004</v>
      </c>
      <c r="X54" s="51">
        <v>73184750.229999974</v>
      </c>
      <c r="Y54" s="51">
        <f>X54-W54</f>
        <v>0</v>
      </c>
      <c r="Z54" s="50" t="str">
        <f>'1.2'!F53</f>
        <v>110-кз</v>
      </c>
      <c r="AA54" s="58">
        <f>'1.1'!H53</f>
        <v>44904</v>
      </c>
      <c r="AB54" s="233">
        <v>7</v>
      </c>
      <c r="AC54" s="233" t="s">
        <v>293</v>
      </c>
      <c r="AD54" s="107" t="s">
        <v>111</v>
      </c>
      <c r="AE54" s="198"/>
      <c r="AF54" s="175"/>
      <c r="AG54" s="175"/>
      <c r="AH54" s="175"/>
      <c r="AI54" s="175"/>
      <c r="AJ54" s="175"/>
    </row>
    <row r="55" spans="1:37" ht="15" customHeight="1">
      <c r="A55" s="120" t="s">
        <v>43</v>
      </c>
      <c r="B55" s="43"/>
      <c r="C55" s="43"/>
      <c r="D55" s="43"/>
      <c r="E55" s="43"/>
      <c r="F55" s="59"/>
      <c r="G55" s="59"/>
      <c r="H55" s="56"/>
      <c r="I55" s="56"/>
      <c r="J55" s="56"/>
      <c r="K55" s="56"/>
      <c r="L55" s="56"/>
      <c r="M55" s="56"/>
      <c r="N55" s="56"/>
      <c r="O55" s="56"/>
      <c r="P55" s="56"/>
      <c r="Q55" s="56"/>
      <c r="R55" s="56"/>
      <c r="S55" s="56"/>
      <c r="T55" s="56"/>
      <c r="U55" s="56"/>
      <c r="V55" s="56"/>
      <c r="W55" s="56"/>
      <c r="X55" s="56"/>
      <c r="Y55" s="56"/>
      <c r="Z55" s="239"/>
      <c r="AA55" s="59"/>
      <c r="AB55" s="45"/>
      <c r="AC55" s="45"/>
      <c r="AD55" s="120"/>
      <c r="AE55" s="198"/>
      <c r="AF55" s="175"/>
      <c r="AG55" s="175"/>
      <c r="AH55" s="175"/>
      <c r="AI55" s="175"/>
      <c r="AJ55" s="175"/>
    </row>
    <row r="56" spans="1:37" s="30" customFormat="1" ht="15" customHeight="1">
      <c r="A56" s="107" t="s">
        <v>44</v>
      </c>
      <c r="B56" s="46" t="s">
        <v>418</v>
      </c>
      <c r="C56" s="47">
        <f t="shared" si="3"/>
        <v>2</v>
      </c>
      <c r="D56" s="47"/>
      <c r="E56" s="48">
        <f t="shared" ref="E56:E69" si="16">C56*(1-D56)</f>
        <v>2</v>
      </c>
      <c r="F56" s="58" t="s">
        <v>239</v>
      </c>
      <c r="G56" s="58" t="s">
        <v>121</v>
      </c>
      <c r="H56" s="51">
        <f>100474204935.86/1000</f>
        <v>100474204.93586001</v>
      </c>
      <c r="I56" s="51">
        <f>9444778354.8/1000</f>
        <v>9444778.3547999989</v>
      </c>
      <c r="J56" s="51">
        <f>36406678701.16/1000</f>
        <v>36406678.701160006</v>
      </c>
      <c r="K56" s="51">
        <f>48334637601.93/1000</f>
        <v>48334637.60193</v>
      </c>
      <c r="L56" s="51">
        <f>6288110277.97/1000</f>
        <v>6288110.2779700002</v>
      </c>
      <c r="M56" s="51">
        <f t="shared" si="7"/>
        <v>100474204.93586001</v>
      </c>
      <c r="N56" s="51">
        <f t="shared" si="1"/>
        <v>0</v>
      </c>
      <c r="O56" s="53" t="s">
        <v>121</v>
      </c>
      <c r="P56" s="51">
        <f>6375600/1000</f>
        <v>6375.6</v>
      </c>
      <c r="Q56" s="51" t="s">
        <v>111</v>
      </c>
      <c r="R56" s="51" t="s">
        <v>111</v>
      </c>
      <c r="S56" s="51">
        <f>(49178300+2217173600+2795678600)/1000</f>
        <v>5062030.5</v>
      </c>
      <c r="T56" s="51">
        <f>4568674554/1000</f>
        <v>4568674.5539999995</v>
      </c>
      <c r="U56" s="51" t="s">
        <v>111</v>
      </c>
      <c r="V56" s="51">
        <f t="shared" si="12"/>
        <v>9637080.6539999992</v>
      </c>
      <c r="W56" s="51">
        <f t="shared" si="6"/>
        <v>110111285.58986001</v>
      </c>
      <c r="X56" s="51">
        <v>110111285.58986001</v>
      </c>
      <c r="Y56" s="51">
        <f>X56-W56</f>
        <v>0</v>
      </c>
      <c r="Z56" s="50" t="str">
        <f>'1.2'!F55</f>
        <v>651-з</v>
      </c>
      <c r="AA56" s="58">
        <f>'1.1'!H55</f>
        <v>44914</v>
      </c>
      <c r="AB56" s="233" t="s">
        <v>577</v>
      </c>
      <c r="AC56" s="233" t="s">
        <v>293</v>
      </c>
      <c r="AD56" s="107" t="s">
        <v>111</v>
      </c>
      <c r="AE56" s="198"/>
      <c r="AF56" s="175"/>
      <c r="AG56" s="176"/>
      <c r="AH56" s="175"/>
      <c r="AI56" s="175"/>
      <c r="AJ56" s="175"/>
      <c r="AK56"/>
    </row>
    <row r="57" spans="1:37" ht="15" customHeight="1">
      <c r="A57" s="107" t="s">
        <v>548</v>
      </c>
      <c r="B57" s="46" t="s">
        <v>419</v>
      </c>
      <c r="C57" s="47">
        <f t="shared" si="3"/>
        <v>1</v>
      </c>
      <c r="D57" s="47"/>
      <c r="E57" s="48">
        <f t="shared" si="16"/>
        <v>1</v>
      </c>
      <c r="F57" s="58" t="s">
        <v>232</v>
      </c>
      <c r="G57" s="58" t="s">
        <v>121</v>
      </c>
      <c r="H57" s="51">
        <v>14871691.6</v>
      </c>
      <c r="I57" s="51">
        <v>1440664.3</v>
      </c>
      <c r="J57" s="51">
        <v>4873120.0999999996</v>
      </c>
      <c r="K57" s="51">
        <v>8025166.7999999998</v>
      </c>
      <c r="L57" s="51">
        <v>532740.4</v>
      </c>
      <c r="M57" s="51">
        <f t="shared" si="7"/>
        <v>14871691.6</v>
      </c>
      <c r="N57" s="51">
        <f t="shared" si="1"/>
        <v>0</v>
      </c>
      <c r="O57" s="53" t="s">
        <v>249</v>
      </c>
      <c r="P57" s="51" t="s">
        <v>111</v>
      </c>
      <c r="Q57" s="51" t="s">
        <v>111</v>
      </c>
      <c r="R57" s="51" t="s">
        <v>111</v>
      </c>
      <c r="S57" s="51">
        <v>54306.5</v>
      </c>
      <c r="T57" s="189">
        <v>3264731.7</v>
      </c>
      <c r="U57" s="51" t="s">
        <v>111</v>
      </c>
      <c r="V57" s="51">
        <f t="shared" si="12"/>
        <v>3319038.2</v>
      </c>
      <c r="W57" s="51">
        <f t="shared" si="6"/>
        <v>18190729.800000001</v>
      </c>
      <c r="X57" s="51">
        <v>14953897.999999994</v>
      </c>
      <c r="Y57" s="51">
        <f>X57-W57</f>
        <v>-3236831.8000000063</v>
      </c>
      <c r="Z57" s="50" t="str">
        <f>'1.2'!F56</f>
        <v xml:space="preserve">46-З </v>
      </c>
      <c r="AA57" s="58">
        <f>'1.1'!H56</f>
        <v>44900</v>
      </c>
      <c r="AB57" s="233">
        <v>13</v>
      </c>
      <c r="AC57" s="233">
        <v>10</v>
      </c>
      <c r="AD57" s="107" t="s">
        <v>578</v>
      </c>
      <c r="AE57" s="198" t="s">
        <v>111</v>
      </c>
      <c r="AF57" s="175"/>
      <c r="AG57" s="183"/>
      <c r="AH57" s="175"/>
      <c r="AI57" s="175"/>
      <c r="AJ57" s="175"/>
    </row>
    <row r="58" spans="1:37" s="30" customFormat="1" ht="15" customHeight="1">
      <c r="A58" s="107" t="s">
        <v>45</v>
      </c>
      <c r="B58" s="46" t="s">
        <v>212</v>
      </c>
      <c r="C58" s="47">
        <f t="shared" si="3"/>
        <v>0</v>
      </c>
      <c r="D58" s="47"/>
      <c r="E58" s="48">
        <f t="shared" si="16"/>
        <v>0</v>
      </c>
      <c r="F58" s="58" t="s">
        <v>122</v>
      </c>
      <c r="G58" s="58" t="s">
        <v>122</v>
      </c>
      <c r="H58" s="51" t="s">
        <v>111</v>
      </c>
      <c r="I58" s="51">
        <f>93560.9+1030004.5</f>
        <v>1123565.3999999999</v>
      </c>
      <c r="J58" s="51">
        <v>6993573.0999999996</v>
      </c>
      <c r="K58" s="51" t="s">
        <v>111</v>
      </c>
      <c r="L58" s="51" t="s">
        <v>111</v>
      </c>
      <c r="M58" s="51">
        <f t="shared" si="7"/>
        <v>8117138.5</v>
      </c>
      <c r="N58" s="51" t="s">
        <v>111</v>
      </c>
      <c r="O58" s="53" t="s">
        <v>111</v>
      </c>
      <c r="P58" s="51">
        <v>1892.2</v>
      </c>
      <c r="Q58" s="51" t="s">
        <v>111</v>
      </c>
      <c r="R58" s="51" t="s">
        <v>111</v>
      </c>
      <c r="S58" s="51" t="s">
        <v>111</v>
      </c>
      <c r="T58" s="51" t="s">
        <v>111</v>
      </c>
      <c r="U58" s="51" t="s">
        <v>111</v>
      </c>
      <c r="V58" s="51">
        <f t="shared" si="12"/>
        <v>1892.2</v>
      </c>
      <c r="W58" s="51">
        <f t="shared" si="6"/>
        <v>8119030.7000000002</v>
      </c>
      <c r="X58" s="51">
        <v>18435424.599999998</v>
      </c>
      <c r="Y58" s="51">
        <f>X58-W58</f>
        <v>10316393.899999999</v>
      </c>
      <c r="Z58" s="50" t="str">
        <f>'1.2'!F57</f>
        <v>90-З</v>
      </c>
      <c r="AA58" s="58">
        <f>'1.1'!H57</f>
        <v>44923</v>
      </c>
      <c r="AB58" s="233" t="s">
        <v>219</v>
      </c>
      <c r="AC58" s="233">
        <v>8</v>
      </c>
      <c r="AD58" s="107" t="s">
        <v>579</v>
      </c>
      <c r="AE58" s="198" t="s">
        <v>111</v>
      </c>
      <c r="AF58" s="175"/>
      <c r="AG58" s="176"/>
      <c r="AH58" s="175"/>
      <c r="AI58" s="175"/>
      <c r="AJ58" s="175"/>
      <c r="AK58"/>
    </row>
    <row r="59" spans="1:37" s="30" customFormat="1" ht="15" customHeight="1">
      <c r="A59" s="107" t="s">
        <v>46</v>
      </c>
      <c r="B59" s="46" t="s">
        <v>212</v>
      </c>
      <c r="C59" s="47">
        <f t="shared" si="3"/>
        <v>0</v>
      </c>
      <c r="D59" s="47"/>
      <c r="E59" s="48">
        <f t="shared" si="16"/>
        <v>0</v>
      </c>
      <c r="F59" s="58" t="s">
        <v>122</v>
      </c>
      <c r="G59" s="58" t="s">
        <v>122</v>
      </c>
      <c r="H59" s="51" t="s">
        <v>111</v>
      </c>
      <c r="I59" s="51">
        <f>18280653.2-17518985.6</f>
        <v>761667.59999999776</v>
      </c>
      <c r="J59" s="51" t="s">
        <v>111</v>
      </c>
      <c r="K59" s="51" t="s">
        <v>111</v>
      </c>
      <c r="L59" s="51" t="s">
        <v>111</v>
      </c>
      <c r="M59" s="51">
        <f t="shared" si="7"/>
        <v>761667.59999999776</v>
      </c>
      <c r="N59" s="51" t="s">
        <v>111</v>
      </c>
      <c r="O59" s="53" t="s">
        <v>111</v>
      </c>
      <c r="P59" s="51" t="s">
        <v>111</v>
      </c>
      <c r="Q59" s="51" t="s">
        <v>111</v>
      </c>
      <c r="R59" s="51" t="s">
        <v>111</v>
      </c>
      <c r="S59" s="51" t="s">
        <v>111</v>
      </c>
      <c r="T59" s="51">
        <v>9384576.1999999993</v>
      </c>
      <c r="U59" s="51" t="s">
        <v>111</v>
      </c>
      <c r="V59" s="51">
        <f t="shared" si="12"/>
        <v>9384576.1999999993</v>
      </c>
      <c r="W59" s="51">
        <f t="shared" si="6"/>
        <v>10146243.799999997</v>
      </c>
      <c r="X59" s="51">
        <v>68147838.000000015</v>
      </c>
      <c r="Y59" s="51">
        <f>X59-W59</f>
        <v>58001594.200000018</v>
      </c>
      <c r="Z59" s="50" t="str">
        <f>'1.2'!F58</f>
        <v>82-ЗРТ</v>
      </c>
      <c r="AA59" s="58">
        <f>'1.1'!H58</f>
        <v>44888</v>
      </c>
      <c r="AB59" s="233" t="s">
        <v>580</v>
      </c>
      <c r="AC59" s="233" t="s">
        <v>449</v>
      </c>
      <c r="AD59" s="107" t="s">
        <v>579</v>
      </c>
      <c r="AE59" s="198" t="s">
        <v>111</v>
      </c>
      <c r="AF59" s="175"/>
      <c r="AG59" s="176"/>
      <c r="AH59" s="175"/>
      <c r="AI59" s="175"/>
      <c r="AJ59" s="175"/>
      <c r="AK59"/>
    </row>
    <row r="60" spans="1:37" ht="15" customHeight="1">
      <c r="A60" s="107" t="s">
        <v>47</v>
      </c>
      <c r="B60" s="46" t="s">
        <v>212</v>
      </c>
      <c r="C60" s="47">
        <f t="shared" si="3"/>
        <v>0</v>
      </c>
      <c r="D60" s="47"/>
      <c r="E60" s="48">
        <f t="shared" si="16"/>
        <v>0</v>
      </c>
      <c r="F60" s="58" t="s">
        <v>122</v>
      </c>
      <c r="G60" s="58" t="s">
        <v>122</v>
      </c>
      <c r="H60" s="51" t="s">
        <v>111</v>
      </c>
      <c r="I60" s="51">
        <f>(3203154000+83565100+14000000)/1000</f>
        <v>3300719.1</v>
      </c>
      <c r="J60" s="51" t="s">
        <v>111</v>
      </c>
      <c r="K60" s="51" t="s">
        <v>111</v>
      </c>
      <c r="L60" s="51" t="s">
        <v>111</v>
      </c>
      <c r="M60" s="51">
        <f t="shared" si="7"/>
        <v>3300719.1</v>
      </c>
      <c r="N60" s="51" t="s">
        <v>111</v>
      </c>
      <c r="O60" s="53" t="s">
        <v>122</v>
      </c>
      <c r="P60" s="51" t="s">
        <v>111</v>
      </c>
      <c r="Q60" s="51" t="s">
        <v>111</v>
      </c>
      <c r="R60" s="51" t="s">
        <v>111</v>
      </c>
      <c r="S60" s="51" t="s">
        <v>111</v>
      </c>
      <c r="T60" s="51" t="s">
        <v>111</v>
      </c>
      <c r="U60" s="51" t="s">
        <v>111</v>
      </c>
      <c r="V60" s="51">
        <v>0</v>
      </c>
      <c r="W60" s="51">
        <f t="shared" si="6"/>
        <v>3300719.1</v>
      </c>
      <c r="X60" s="51">
        <v>33504361.099999998</v>
      </c>
      <c r="Y60" s="51">
        <f>X60-W60</f>
        <v>30203641.999999996</v>
      </c>
      <c r="Z60" s="50" t="str">
        <f>'1.2'!F59</f>
        <v>83-РЗ</v>
      </c>
      <c r="AA60" s="58">
        <f>'1.1'!H59</f>
        <v>44921</v>
      </c>
      <c r="AB60" s="233" t="s">
        <v>581</v>
      </c>
      <c r="AC60" s="233" t="s">
        <v>111</v>
      </c>
      <c r="AD60" s="107" t="s">
        <v>579</v>
      </c>
      <c r="AE60" s="198" t="s">
        <v>111</v>
      </c>
      <c r="AF60" s="175"/>
      <c r="AG60" s="176"/>
      <c r="AH60" s="175"/>
      <c r="AI60" s="175"/>
      <c r="AJ60" s="175"/>
    </row>
    <row r="61" spans="1:37" ht="15" customHeight="1">
      <c r="A61" s="107" t="s">
        <v>549</v>
      </c>
      <c r="B61" s="46" t="s">
        <v>418</v>
      </c>
      <c r="C61" s="47">
        <f t="shared" si="3"/>
        <v>2</v>
      </c>
      <c r="D61" s="47"/>
      <c r="E61" s="48">
        <f t="shared" si="16"/>
        <v>2</v>
      </c>
      <c r="F61" s="58" t="s">
        <v>239</v>
      </c>
      <c r="G61" s="58" t="s">
        <v>121</v>
      </c>
      <c r="H61" s="51">
        <v>23616873.899999999</v>
      </c>
      <c r="I61" s="51">
        <v>2112922</v>
      </c>
      <c r="J61" s="51">
        <v>5806333.4000000004</v>
      </c>
      <c r="K61" s="51">
        <v>14897390.6</v>
      </c>
      <c r="L61" s="51">
        <v>800227.9</v>
      </c>
      <c r="M61" s="51">
        <f t="shared" si="7"/>
        <v>23616873.899999999</v>
      </c>
      <c r="N61" s="51">
        <f t="shared" si="1"/>
        <v>0</v>
      </c>
      <c r="O61" s="53" t="s">
        <v>121</v>
      </c>
      <c r="P61" s="51">
        <v>2978.1</v>
      </c>
      <c r="Q61" s="51" t="s">
        <v>111</v>
      </c>
      <c r="R61" s="51" t="s">
        <v>111</v>
      </c>
      <c r="S61" s="51">
        <v>162061.5</v>
      </c>
      <c r="T61" s="51" t="s">
        <v>111</v>
      </c>
      <c r="U61" s="51" t="s">
        <v>111</v>
      </c>
      <c r="V61" s="51">
        <f t="shared" si="12"/>
        <v>165039.6</v>
      </c>
      <c r="W61" s="51">
        <f t="shared" si="6"/>
        <v>23781913.5</v>
      </c>
      <c r="X61" s="51">
        <v>23781913.5</v>
      </c>
      <c r="Y61" s="51">
        <f t="shared" ref="Y61:Y65" si="17">X61-W61</f>
        <v>0</v>
      </c>
      <c r="Z61" s="50">
        <f>'1.2'!F60</f>
        <v>110</v>
      </c>
      <c r="AA61" s="58">
        <f>'1.1'!H60</f>
        <v>44894</v>
      </c>
      <c r="AB61" s="233" t="s">
        <v>592</v>
      </c>
      <c r="AC61" s="233" t="s">
        <v>111</v>
      </c>
      <c r="AD61" s="107" t="s">
        <v>111</v>
      </c>
      <c r="AE61" s="198" t="s">
        <v>111</v>
      </c>
      <c r="AF61" s="175"/>
      <c r="AG61" s="175"/>
      <c r="AH61" s="175"/>
      <c r="AI61" s="175"/>
      <c r="AJ61" s="175"/>
    </row>
    <row r="62" spans="1:37" s="30" customFormat="1" ht="15" customHeight="1">
      <c r="A62" s="107" t="s">
        <v>48</v>
      </c>
      <c r="B62" s="46" t="s">
        <v>212</v>
      </c>
      <c r="C62" s="47">
        <f t="shared" si="3"/>
        <v>0</v>
      </c>
      <c r="D62" s="47"/>
      <c r="E62" s="48">
        <f t="shared" si="16"/>
        <v>0</v>
      </c>
      <c r="F62" s="58" t="s">
        <v>249</v>
      </c>
      <c r="G62" s="58" t="s">
        <v>249</v>
      </c>
      <c r="H62" s="51" t="s">
        <v>111</v>
      </c>
      <c r="I62" s="189">
        <f>11678403.9+596847.8</f>
        <v>12275251.700000001</v>
      </c>
      <c r="J62" s="51">
        <v>17747765.899999999</v>
      </c>
      <c r="K62" s="51">
        <v>33317820.300000001</v>
      </c>
      <c r="L62" s="51">
        <v>11420209.300000001</v>
      </c>
      <c r="M62" s="51">
        <f t="shared" si="7"/>
        <v>74761047.200000003</v>
      </c>
      <c r="N62" s="51" t="s">
        <v>111</v>
      </c>
      <c r="O62" s="53" t="s">
        <v>111</v>
      </c>
      <c r="P62" s="51">
        <v>5175.3</v>
      </c>
      <c r="Q62" s="51" t="s">
        <v>111</v>
      </c>
      <c r="R62" s="51" t="s">
        <v>111</v>
      </c>
      <c r="S62" s="51">
        <v>5569289.2999999998</v>
      </c>
      <c r="T62" s="51">
        <v>3711067</v>
      </c>
      <c r="U62" s="51" t="s">
        <v>111</v>
      </c>
      <c r="V62" s="51">
        <f>SUM(P62:U62)</f>
        <v>9285531.5999999996</v>
      </c>
      <c r="W62" s="51">
        <f t="shared" si="6"/>
        <v>84046578.799999997</v>
      </c>
      <c r="X62" s="51">
        <v>84096127.700000003</v>
      </c>
      <c r="Y62" s="51">
        <f t="shared" si="17"/>
        <v>49548.90000000596</v>
      </c>
      <c r="Z62" s="50" t="str">
        <f>'1.2'!F61</f>
        <v>131-ПК</v>
      </c>
      <c r="AA62" s="58">
        <f>'1.1'!H61</f>
        <v>44895</v>
      </c>
      <c r="AB62" s="233">
        <v>5</v>
      </c>
      <c r="AC62" s="233" t="s">
        <v>111</v>
      </c>
      <c r="AD62" s="107" t="s">
        <v>622</v>
      </c>
      <c r="AE62" s="198" t="s">
        <v>111</v>
      </c>
      <c r="AF62" s="175"/>
      <c r="AG62" s="176"/>
      <c r="AH62" s="175"/>
      <c r="AI62" s="175"/>
      <c r="AJ62" s="175"/>
      <c r="AK62"/>
    </row>
    <row r="63" spans="1:37" s="30" customFormat="1" ht="15" customHeight="1">
      <c r="A63" s="107" t="s">
        <v>49</v>
      </c>
      <c r="B63" s="46" t="s">
        <v>418</v>
      </c>
      <c r="C63" s="47">
        <f t="shared" si="3"/>
        <v>2</v>
      </c>
      <c r="D63" s="47"/>
      <c r="E63" s="48">
        <f t="shared" si="16"/>
        <v>2</v>
      </c>
      <c r="F63" s="58" t="s">
        <v>239</v>
      </c>
      <c r="G63" s="58" t="s">
        <v>121</v>
      </c>
      <c r="H63" s="51" t="s">
        <v>111</v>
      </c>
      <c r="I63" s="51">
        <f>2887414+76261</f>
        <v>2963675</v>
      </c>
      <c r="J63" s="51">
        <v>15526501.5</v>
      </c>
      <c r="K63" s="51">
        <v>10375039.699999999</v>
      </c>
      <c r="L63" s="51">
        <v>1274677.3</v>
      </c>
      <c r="M63" s="51">
        <f t="shared" si="7"/>
        <v>30139893.5</v>
      </c>
      <c r="N63" s="51" t="s">
        <v>111</v>
      </c>
      <c r="O63" s="53" t="s">
        <v>121</v>
      </c>
      <c r="P63" s="51">
        <f>2563.6+4492.4</f>
        <v>7056</v>
      </c>
      <c r="Q63" s="51" t="s">
        <v>111</v>
      </c>
      <c r="R63" s="51" t="s">
        <v>111</v>
      </c>
      <c r="S63" s="51">
        <f>305578.1+242345.3+30000</f>
        <v>577923.39999999991</v>
      </c>
      <c r="T63" s="51">
        <f>120452.2</f>
        <v>120452.2</v>
      </c>
      <c r="U63" s="51" t="s">
        <v>111</v>
      </c>
      <c r="V63" s="51">
        <f t="shared" si="12"/>
        <v>705431.59999999986</v>
      </c>
      <c r="W63" s="51">
        <f t="shared" si="6"/>
        <v>30845325.100000001</v>
      </c>
      <c r="X63" s="51">
        <v>30845325.099999994</v>
      </c>
      <c r="Y63" s="51">
        <f t="shared" si="17"/>
        <v>0</v>
      </c>
      <c r="Z63" s="50" t="str">
        <f>'1.2'!F62</f>
        <v>149-ЗО</v>
      </c>
      <c r="AA63" s="58">
        <f>'1.1'!H62</f>
        <v>44914</v>
      </c>
      <c r="AB63" s="233" t="s">
        <v>582</v>
      </c>
      <c r="AC63" s="233" t="s">
        <v>111</v>
      </c>
      <c r="AD63" s="107" t="s">
        <v>111</v>
      </c>
      <c r="AE63" s="198"/>
      <c r="AF63" s="175"/>
      <c r="AG63" s="176"/>
      <c r="AH63" s="175"/>
      <c r="AI63" s="175"/>
      <c r="AJ63" s="175"/>
      <c r="AK63"/>
    </row>
    <row r="64" spans="1:37" s="30" customFormat="1" ht="15" customHeight="1">
      <c r="A64" s="107" t="s">
        <v>550</v>
      </c>
      <c r="B64" s="46" t="s">
        <v>418</v>
      </c>
      <c r="C64" s="47">
        <f t="shared" si="3"/>
        <v>2</v>
      </c>
      <c r="D64" s="47">
        <v>0.5</v>
      </c>
      <c r="E64" s="48">
        <f t="shared" si="16"/>
        <v>1</v>
      </c>
      <c r="F64" s="58" t="s">
        <v>239</v>
      </c>
      <c r="G64" s="58" t="s">
        <v>121</v>
      </c>
      <c r="H64" s="51">
        <v>89339527.299999997</v>
      </c>
      <c r="I64" s="51">
        <f>9499899.5+4511766.6+18000+281422</f>
        <v>14311088.1</v>
      </c>
      <c r="J64" s="51">
        <v>28879963.300000001</v>
      </c>
      <c r="K64" s="51">
        <v>45184030.899999999</v>
      </c>
      <c r="L64" s="51">
        <v>964445</v>
      </c>
      <c r="M64" s="51">
        <f t="shared" si="7"/>
        <v>89339527.299999997</v>
      </c>
      <c r="N64" s="51">
        <f t="shared" si="1"/>
        <v>0</v>
      </c>
      <c r="O64" s="53" t="s">
        <v>121</v>
      </c>
      <c r="P64" s="51">
        <v>3264.8</v>
      </c>
      <c r="Q64" s="51" t="s">
        <v>111</v>
      </c>
      <c r="R64" s="51" t="s">
        <v>111</v>
      </c>
      <c r="S64" s="51">
        <f>9100+1763833.9+2224053.5</f>
        <v>3996987.4</v>
      </c>
      <c r="T64" s="51" t="s">
        <v>111</v>
      </c>
      <c r="U64" s="51" t="s">
        <v>111</v>
      </c>
      <c r="V64" s="51">
        <f t="shared" si="12"/>
        <v>4000252.1999999997</v>
      </c>
      <c r="W64" s="51">
        <f t="shared" si="6"/>
        <v>93339779.5</v>
      </c>
      <c r="X64" s="51">
        <v>93339779.49999997</v>
      </c>
      <c r="Y64" s="51">
        <f t="shared" si="17"/>
        <v>0</v>
      </c>
      <c r="Z64" s="50" t="str">
        <f>'1.2'!F63</f>
        <v>197-З</v>
      </c>
      <c r="AA64" s="58">
        <f>'1.1'!H63</f>
        <v>44915</v>
      </c>
      <c r="AB64" s="233" t="s">
        <v>594</v>
      </c>
      <c r="AC64" s="233" t="s">
        <v>111</v>
      </c>
      <c r="AD64" s="107" t="s">
        <v>593</v>
      </c>
      <c r="AE64" s="198" t="s">
        <v>111</v>
      </c>
      <c r="AF64" s="175"/>
      <c r="AG64" s="176"/>
      <c r="AH64" s="175"/>
      <c r="AI64" s="175"/>
      <c r="AJ64" s="175"/>
      <c r="AK64"/>
    </row>
    <row r="65" spans="1:37" s="30" customFormat="1" ht="15" customHeight="1">
      <c r="A65" s="107" t="s">
        <v>50</v>
      </c>
      <c r="B65" s="46" t="s">
        <v>418</v>
      </c>
      <c r="C65" s="47">
        <f t="shared" si="3"/>
        <v>2</v>
      </c>
      <c r="D65" s="47"/>
      <c r="E65" s="48">
        <f t="shared" si="16"/>
        <v>2</v>
      </c>
      <c r="F65" s="58" t="s">
        <v>239</v>
      </c>
      <c r="G65" s="58" t="s">
        <v>121</v>
      </c>
      <c r="H65" s="51">
        <v>53883564.899999999</v>
      </c>
      <c r="I65" s="51">
        <v>11555471.800000001</v>
      </c>
      <c r="J65" s="51">
        <v>18293559.300000001</v>
      </c>
      <c r="K65" s="51">
        <v>22569908.100000001</v>
      </c>
      <c r="L65" s="51">
        <v>1464625.7</v>
      </c>
      <c r="M65" s="51">
        <f t="shared" si="7"/>
        <v>53883564.900000006</v>
      </c>
      <c r="N65" s="51">
        <f t="shared" si="1"/>
        <v>0</v>
      </c>
      <c r="O65" s="53" t="s">
        <v>121</v>
      </c>
      <c r="P65" s="51">
        <v>8764</v>
      </c>
      <c r="Q65" s="51" t="s">
        <v>111</v>
      </c>
      <c r="R65" s="51" t="s">
        <v>111</v>
      </c>
      <c r="S65" s="51">
        <v>2886760.6</v>
      </c>
      <c r="T65" s="51">
        <v>32092.5</v>
      </c>
      <c r="U65" s="163" t="s">
        <v>111</v>
      </c>
      <c r="V65" s="51">
        <f t="shared" si="12"/>
        <v>2927617.1</v>
      </c>
      <c r="W65" s="51">
        <f t="shared" si="6"/>
        <v>56811182.000000007</v>
      </c>
      <c r="X65" s="163">
        <v>56811182.000000007</v>
      </c>
      <c r="Y65" s="163">
        <f t="shared" si="17"/>
        <v>0</v>
      </c>
      <c r="Z65" s="136" t="str">
        <f>'1.2'!F64</f>
        <v>636/237-VII-ОЗ</v>
      </c>
      <c r="AA65" s="58">
        <f>'1.1'!H64</f>
        <v>44910</v>
      </c>
      <c r="AB65" s="234" t="s">
        <v>215</v>
      </c>
      <c r="AC65" s="234" t="s">
        <v>293</v>
      </c>
      <c r="AD65" s="107" t="s">
        <v>111</v>
      </c>
      <c r="AE65" s="198" t="s">
        <v>111</v>
      </c>
      <c r="AF65" s="177"/>
      <c r="AG65" s="177"/>
      <c r="AH65" s="177"/>
      <c r="AI65" s="177"/>
      <c r="AJ65" s="177"/>
    </row>
    <row r="66" spans="1:37" ht="15" customHeight="1">
      <c r="A66" s="107" t="s">
        <v>51</v>
      </c>
      <c r="B66" s="46" t="s">
        <v>212</v>
      </c>
      <c r="C66" s="47">
        <f t="shared" si="3"/>
        <v>0</v>
      </c>
      <c r="D66" s="47"/>
      <c r="E66" s="48">
        <f t="shared" si="16"/>
        <v>0</v>
      </c>
      <c r="F66" s="58" t="s">
        <v>595</v>
      </c>
      <c r="G66" s="58" t="s">
        <v>122</v>
      </c>
      <c r="H66" s="51" t="s">
        <v>111</v>
      </c>
      <c r="I66" s="51" t="s">
        <v>111</v>
      </c>
      <c r="J66" s="51" t="s">
        <v>111</v>
      </c>
      <c r="K66" s="51" t="s">
        <v>111</v>
      </c>
      <c r="L66" s="51" t="s">
        <v>111</v>
      </c>
      <c r="M66" s="51">
        <f t="shared" si="7"/>
        <v>0</v>
      </c>
      <c r="N66" s="51" t="s">
        <v>111</v>
      </c>
      <c r="O66" s="58" t="s">
        <v>111</v>
      </c>
      <c r="P66" s="51" t="s">
        <v>111</v>
      </c>
      <c r="Q66" s="51" t="s">
        <v>111</v>
      </c>
      <c r="R66" s="51" t="s">
        <v>111</v>
      </c>
      <c r="S66" s="51">
        <v>23803.3</v>
      </c>
      <c r="T66" s="51" t="s">
        <v>111</v>
      </c>
      <c r="U66" s="51" t="s">
        <v>111</v>
      </c>
      <c r="V66" s="51">
        <f t="shared" si="12"/>
        <v>23803.3</v>
      </c>
      <c r="W66" s="51">
        <f t="shared" si="6"/>
        <v>23803.3</v>
      </c>
      <c r="X66" s="51">
        <v>34904282.599999987</v>
      </c>
      <c r="Y66" s="51">
        <f>X66-W66</f>
        <v>34880479.29999999</v>
      </c>
      <c r="Z66" s="50" t="str">
        <f>'1.2'!F65</f>
        <v>3935-ЗПО</v>
      </c>
      <c r="AA66" s="58">
        <f>'1.1'!H65</f>
        <v>44911</v>
      </c>
      <c r="AB66" s="233" t="s">
        <v>443</v>
      </c>
      <c r="AC66" s="233" t="s">
        <v>293</v>
      </c>
      <c r="AD66" s="107" t="s">
        <v>596</v>
      </c>
      <c r="AE66" s="198" t="s">
        <v>111</v>
      </c>
      <c r="AF66" s="175"/>
      <c r="AG66" s="176"/>
      <c r="AH66" s="175"/>
      <c r="AI66" s="175"/>
      <c r="AJ66" s="175"/>
    </row>
    <row r="67" spans="1:37" ht="15" customHeight="1">
      <c r="A67" s="107" t="s">
        <v>52</v>
      </c>
      <c r="B67" s="46" t="s">
        <v>212</v>
      </c>
      <c r="C67" s="47">
        <f t="shared" si="3"/>
        <v>0</v>
      </c>
      <c r="D67" s="47"/>
      <c r="E67" s="48">
        <f t="shared" si="16"/>
        <v>0</v>
      </c>
      <c r="F67" s="58" t="s">
        <v>249</v>
      </c>
      <c r="G67" s="58" t="s">
        <v>249</v>
      </c>
      <c r="H67" s="189">
        <v>49091094</v>
      </c>
      <c r="I67" s="189">
        <v>6700178</v>
      </c>
      <c r="J67" s="189">
        <v>24230242</v>
      </c>
      <c r="K67" s="189">
        <v>17292991</v>
      </c>
      <c r="L67" s="189">
        <v>867683</v>
      </c>
      <c r="M67" s="51">
        <f t="shared" si="7"/>
        <v>49091094</v>
      </c>
      <c r="N67" s="51">
        <f t="shared" si="1"/>
        <v>0</v>
      </c>
      <c r="O67" s="58" t="s">
        <v>111</v>
      </c>
      <c r="P67" s="189">
        <v>100000</v>
      </c>
      <c r="Q67" s="51" t="s">
        <v>111</v>
      </c>
      <c r="R67" s="189">
        <v>6321188</v>
      </c>
      <c r="S67" s="51" t="s">
        <v>111</v>
      </c>
      <c r="T67" s="51" t="s">
        <v>111</v>
      </c>
      <c r="U67" s="51" t="s">
        <v>111</v>
      </c>
      <c r="V67" s="51">
        <f t="shared" si="12"/>
        <v>6421188</v>
      </c>
      <c r="W67" s="51">
        <f t="shared" si="6"/>
        <v>55512282</v>
      </c>
      <c r="X67" s="51">
        <v>56376555</v>
      </c>
      <c r="Y67" s="51">
        <f>X67-W67</f>
        <v>864273</v>
      </c>
      <c r="Z67" s="50" t="str">
        <f>'1.2'!F66</f>
        <v>118-ГД</v>
      </c>
      <c r="AA67" s="58">
        <f>'1.1'!H66</f>
        <v>44895</v>
      </c>
      <c r="AB67" s="233" t="s">
        <v>448</v>
      </c>
      <c r="AC67" s="233" t="s">
        <v>111</v>
      </c>
      <c r="AD67" s="107" t="s">
        <v>623</v>
      </c>
      <c r="AE67" s="198" t="s">
        <v>111</v>
      </c>
      <c r="AF67" s="175"/>
      <c r="AG67" s="175"/>
      <c r="AH67" s="175"/>
      <c r="AI67" s="175"/>
      <c r="AJ67" s="175"/>
    </row>
    <row r="68" spans="1:37" s="30" customFormat="1" ht="15" customHeight="1">
      <c r="A68" s="107" t="s">
        <v>53</v>
      </c>
      <c r="B68" s="46" t="s">
        <v>418</v>
      </c>
      <c r="C68" s="47">
        <f t="shared" si="3"/>
        <v>2</v>
      </c>
      <c r="D68" s="47"/>
      <c r="E68" s="48">
        <f t="shared" si="16"/>
        <v>2</v>
      </c>
      <c r="F68" s="58" t="s">
        <v>239</v>
      </c>
      <c r="G68" s="58" t="s">
        <v>121</v>
      </c>
      <c r="H68" s="51">
        <v>38294163.5</v>
      </c>
      <c r="I68" s="51">
        <v>4468540.5999999996</v>
      </c>
      <c r="J68" s="51">
        <v>7800973.5</v>
      </c>
      <c r="K68" s="51">
        <v>24629309.399999999</v>
      </c>
      <c r="L68" s="51">
        <v>1395340</v>
      </c>
      <c r="M68" s="51">
        <f t="shared" si="7"/>
        <v>38294163.5</v>
      </c>
      <c r="N68" s="51">
        <f t="shared" si="1"/>
        <v>0</v>
      </c>
      <c r="O68" s="53" t="s">
        <v>121</v>
      </c>
      <c r="P68" s="51">
        <v>2068.1</v>
      </c>
      <c r="Q68" s="51" t="s">
        <v>111</v>
      </c>
      <c r="R68" s="51" t="s">
        <v>111</v>
      </c>
      <c r="S68" s="51">
        <v>1286745.3999999999</v>
      </c>
      <c r="T68" s="51" t="s">
        <v>111</v>
      </c>
      <c r="U68" s="51" t="s">
        <v>111</v>
      </c>
      <c r="V68" s="51">
        <f t="shared" si="12"/>
        <v>1288813.5</v>
      </c>
      <c r="W68" s="51">
        <f t="shared" si="6"/>
        <v>39582977</v>
      </c>
      <c r="X68" s="51">
        <v>39582977</v>
      </c>
      <c r="Y68" s="51">
        <f t="shared" ref="Y68:Y99" si="18">X68-W68</f>
        <v>0</v>
      </c>
      <c r="Z68" s="50" t="str">
        <f>'1.2'!F67</f>
        <v>151-ЗСО</v>
      </c>
      <c r="AA68" s="58">
        <f>'1.1'!H67</f>
        <v>44895</v>
      </c>
      <c r="AB68" s="233">
        <v>6</v>
      </c>
      <c r="AC68" s="233">
        <v>8</v>
      </c>
      <c r="AD68" s="107" t="s">
        <v>111</v>
      </c>
      <c r="AE68" s="198"/>
      <c r="AF68" s="175"/>
      <c r="AG68" s="176"/>
      <c r="AH68" s="175"/>
      <c r="AI68" s="175"/>
      <c r="AJ68" s="175"/>
      <c r="AK68"/>
    </row>
    <row r="69" spans="1:37" ht="15" customHeight="1">
      <c r="A69" s="107" t="s">
        <v>54</v>
      </c>
      <c r="B69" s="46" t="s">
        <v>418</v>
      </c>
      <c r="C69" s="47">
        <f t="shared" si="3"/>
        <v>2</v>
      </c>
      <c r="D69" s="47"/>
      <c r="E69" s="48">
        <f t="shared" si="16"/>
        <v>2</v>
      </c>
      <c r="F69" s="58" t="s">
        <v>239</v>
      </c>
      <c r="G69" s="58" t="s">
        <v>121</v>
      </c>
      <c r="H69" s="51" t="s">
        <v>111</v>
      </c>
      <c r="I69" s="51">
        <v>3861273.3</v>
      </c>
      <c r="J69" s="51">
        <v>6884008.3191799996</v>
      </c>
      <c r="K69" s="51">
        <v>13328858.640000001</v>
      </c>
      <c r="L69" s="51">
        <v>2253708.9</v>
      </c>
      <c r="M69" s="51">
        <f t="shared" si="7"/>
        <v>26327849.15918</v>
      </c>
      <c r="N69" s="51" t="s">
        <v>111</v>
      </c>
      <c r="O69" s="58" t="s">
        <v>121</v>
      </c>
      <c r="P69" s="51">
        <v>1708.7</v>
      </c>
      <c r="Q69" s="51" t="s">
        <v>111</v>
      </c>
      <c r="R69" s="51" t="s">
        <v>111</v>
      </c>
      <c r="S69" s="51">
        <v>1139011.3999999999</v>
      </c>
      <c r="T69" s="51">
        <v>45000</v>
      </c>
      <c r="U69" s="51" t="s">
        <v>111</v>
      </c>
      <c r="V69" s="51">
        <f t="shared" si="12"/>
        <v>1185720.0999999999</v>
      </c>
      <c r="W69" s="51">
        <f t="shared" si="6"/>
        <v>27513569.259180002</v>
      </c>
      <c r="X69" s="51">
        <v>27513569.259179998</v>
      </c>
      <c r="Y69" s="51">
        <f>X69-W69</f>
        <v>0</v>
      </c>
      <c r="Z69" s="50" t="str">
        <f>'1.2'!F68</f>
        <v>119-ЗО</v>
      </c>
      <c r="AA69" s="58">
        <f>'1.1'!H68</f>
        <v>44903</v>
      </c>
      <c r="AB69" s="233">
        <v>9</v>
      </c>
      <c r="AC69" s="233">
        <v>8</v>
      </c>
      <c r="AD69" s="107" t="s">
        <v>111</v>
      </c>
      <c r="AE69" s="198" t="s">
        <v>111</v>
      </c>
      <c r="AF69" s="175"/>
      <c r="AG69" s="176"/>
      <c r="AH69" s="175"/>
      <c r="AI69" s="175"/>
      <c r="AJ69" s="175"/>
    </row>
    <row r="70" spans="1:37" ht="15" customHeight="1">
      <c r="A70" s="120" t="s">
        <v>55</v>
      </c>
      <c r="B70" s="43"/>
      <c r="C70" s="43"/>
      <c r="D70" s="43"/>
      <c r="E70" s="43"/>
      <c r="F70" s="59"/>
      <c r="G70" s="59"/>
      <c r="H70" s="56"/>
      <c r="I70" s="56"/>
      <c r="J70" s="56"/>
      <c r="K70" s="56"/>
      <c r="L70" s="56"/>
      <c r="M70" s="56"/>
      <c r="N70" s="56"/>
      <c r="O70" s="56"/>
      <c r="P70" s="56"/>
      <c r="Q70" s="56"/>
      <c r="R70" s="56"/>
      <c r="S70" s="56"/>
      <c r="T70" s="56"/>
      <c r="U70" s="56"/>
      <c r="V70" s="56"/>
      <c r="W70" s="56"/>
      <c r="X70" s="56"/>
      <c r="Y70" s="56"/>
      <c r="Z70" s="239"/>
      <c r="AA70" s="59"/>
      <c r="AB70" s="45"/>
      <c r="AC70" s="45"/>
      <c r="AD70" s="120"/>
      <c r="AE70" s="198"/>
      <c r="AF70" s="175"/>
      <c r="AG70" s="175"/>
      <c r="AH70" s="175"/>
      <c r="AI70" s="175"/>
      <c r="AJ70" s="175"/>
    </row>
    <row r="71" spans="1:37" s="30" customFormat="1" ht="15" customHeight="1">
      <c r="A71" s="107" t="s">
        <v>56</v>
      </c>
      <c r="B71" s="46" t="s">
        <v>212</v>
      </c>
      <c r="C71" s="47">
        <f t="shared" si="3"/>
        <v>0</v>
      </c>
      <c r="D71" s="47"/>
      <c r="E71" s="48">
        <f t="shared" ref="E71:E76" si="19">C71*(1-D71)</f>
        <v>0</v>
      </c>
      <c r="F71" s="58" t="s">
        <v>122</v>
      </c>
      <c r="G71" s="58" t="s">
        <v>122</v>
      </c>
      <c r="H71" s="51">
        <v>25512415.300000001</v>
      </c>
      <c r="I71" s="51" t="s">
        <v>111</v>
      </c>
      <c r="J71" s="51">
        <v>7871843.4000000004</v>
      </c>
      <c r="K71" s="51" t="s">
        <v>111</v>
      </c>
      <c r="L71" s="51" t="s">
        <v>111</v>
      </c>
      <c r="M71" s="51">
        <f t="shared" si="7"/>
        <v>7871843.4000000004</v>
      </c>
      <c r="N71" s="51">
        <f t="shared" si="1"/>
        <v>17640571.899999999</v>
      </c>
      <c r="O71" s="53" t="s">
        <v>122</v>
      </c>
      <c r="P71" s="51" t="s">
        <v>111</v>
      </c>
      <c r="Q71" s="51" t="s">
        <v>111</v>
      </c>
      <c r="R71" s="51" t="s">
        <v>111</v>
      </c>
      <c r="S71" s="51" t="s">
        <v>111</v>
      </c>
      <c r="T71" s="51" t="s">
        <v>111</v>
      </c>
      <c r="U71" s="51" t="s">
        <v>111</v>
      </c>
      <c r="V71" s="51">
        <f t="shared" si="12"/>
        <v>0</v>
      </c>
      <c r="W71" s="51">
        <f t="shared" si="6"/>
        <v>7871843.4000000004</v>
      </c>
      <c r="X71" s="51">
        <v>25569208.399999999</v>
      </c>
      <c r="Y71" s="51">
        <f t="shared" ref="Y71:Y72" si="20">X71-W71</f>
        <v>17697365</v>
      </c>
      <c r="Z71" s="50">
        <f>'1.2'!F70</f>
        <v>101</v>
      </c>
      <c r="AA71" s="58">
        <f>'1.1'!H70</f>
        <v>44923</v>
      </c>
      <c r="AB71" s="233" t="s">
        <v>598</v>
      </c>
      <c r="AC71" s="233" t="s">
        <v>221</v>
      </c>
      <c r="AD71" s="107" t="s">
        <v>597</v>
      </c>
      <c r="AE71" s="198" t="s">
        <v>111</v>
      </c>
      <c r="AF71" s="175"/>
      <c r="AG71" s="176"/>
      <c r="AH71" s="175"/>
      <c r="AI71" s="175"/>
      <c r="AJ71" s="175"/>
      <c r="AK71"/>
    </row>
    <row r="72" spans="1:37" ht="15" customHeight="1">
      <c r="A72" s="107" t="s">
        <v>57</v>
      </c>
      <c r="B72" s="46" t="s">
        <v>212</v>
      </c>
      <c r="C72" s="47">
        <f t="shared" si="3"/>
        <v>0</v>
      </c>
      <c r="D72" s="47"/>
      <c r="E72" s="48">
        <f t="shared" si="19"/>
        <v>0</v>
      </c>
      <c r="F72" s="58" t="s">
        <v>122</v>
      </c>
      <c r="G72" s="58" t="s">
        <v>122</v>
      </c>
      <c r="H72" s="51" t="s">
        <v>111</v>
      </c>
      <c r="I72" s="51" t="s">
        <v>111</v>
      </c>
      <c r="J72" s="51" t="s">
        <v>111</v>
      </c>
      <c r="K72" s="51" t="s">
        <v>111</v>
      </c>
      <c r="L72" s="51" t="s">
        <v>111</v>
      </c>
      <c r="M72" s="51">
        <f t="shared" si="7"/>
        <v>0</v>
      </c>
      <c r="N72" s="51" t="s">
        <v>111</v>
      </c>
      <c r="O72" s="53" t="s">
        <v>122</v>
      </c>
      <c r="P72" s="51" t="s">
        <v>111</v>
      </c>
      <c r="Q72" s="51" t="s">
        <v>111</v>
      </c>
      <c r="R72" s="51" t="s">
        <v>111</v>
      </c>
      <c r="S72" s="51" t="s">
        <v>111</v>
      </c>
      <c r="T72" s="51" t="s">
        <v>111</v>
      </c>
      <c r="U72" s="51" t="s">
        <v>111</v>
      </c>
      <c r="V72" s="51">
        <f t="shared" si="12"/>
        <v>0</v>
      </c>
      <c r="W72" s="51">
        <f t="shared" si="6"/>
        <v>0</v>
      </c>
      <c r="X72" s="51">
        <v>138680972.69999993</v>
      </c>
      <c r="Y72" s="51">
        <f t="shared" si="20"/>
        <v>138680972.69999993</v>
      </c>
      <c r="Z72" s="50" t="str">
        <f>'1.2'!F71</f>
        <v>137-ОЗ</v>
      </c>
      <c r="AA72" s="58">
        <f>'1.1'!H71</f>
        <v>44902</v>
      </c>
      <c r="AB72" s="233">
        <v>11</v>
      </c>
      <c r="AC72" s="233" t="s">
        <v>111</v>
      </c>
      <c r="AD72" s="107" t="s">
        <v>252</v>
      </c>
      <c r="AE72" s="198" t="s">
        <v>111</v>
      </c>
      <c r="AF72" s="175"/>
      <c r="AG72" s="176"/>
      <c r="AH72" s="175"/>
      <c r="AI72" s="175"/>
      <c r="AJ72" s="175"/>
    </row>
    <row r="73" spans="1:37" ht="15" customHeight="1">
      <c r="A73" s="107" t="s">
        <v>58</v>
      </c>
      <c r="B73" s="46" t="s">
        <v>419</v>
      </c>
      <c r="C73" s="47">
        <f t="shared" ref="C73:C99" si="21">IF(B73=$B$4,2,IF(B73=$B$5,1,0))</f>
        <v>1</v>
      </c>
      <c r="D73" s="47"/>
      <c r="E73" s="48">
        <f t="shared" si="19"/>
        <v>1</v>
      </c>
      <c r="F73" s="58" t="s">
        <v>232</v>
      </c>
      <c r="G73" s="58" t="s">
        <v>121</v>
      </c>
      <c r="H73" s="51">
        <v>69953592</v>
      </c>
      <c r="I73" s="51">
        <v>34507001</v>
      </c>
      <c r="J73" s="51">
        <v>5862130</v>
      </c>
      <c r="K73" s="51">
        <v>24218831</v>
      </c>
      <c r="L73" s="51">
        <v>5365630</v>
      </c>
      <c r="M73" s="51">
        <f t="shared" si="7"/>
        <v>69953592</v>
      </c>
      <c r="N73" s="51">
        <f t="shared" ref="N73:N99" si="22">H73-M73</f>
        <v>0</v>
      </c>
      <c r="O73" s="53" t="s">
        <v>122</v>
      </c>
      <c r="P73" s="51" t="s">
        <v>111</v>
      </c>
      <c r="Q73" s="51" t="s">
        <v>111</v>
      </c>
      <c r="R73" s="51" t="s">
        <v>111</v>
      </c>
      <c r="S73" s="51" t="s">
        <v>111</v>
      </c>
      <c r="T73" s="51" t="s">
        <v>111</v>
      </c>
      <c r="U73" s="51" t="s">
        <v>111</v>
      </c>
      <c r="V73" s="51">
        <f t="shared" si="12"/>
        <v>0</v>
      </c>
      <c r="W73" s="51">
        <f t="shared" si="6"/>
        <v>69953592</v>
      </c>
      <c r="X73" s="51">
        <v>113200066</v>
      </c>
      <c r="Y73" s="51">
        <f t="shared" si="18"/>
        <v>43246474</v>
      </c>
      <c r="Z73" s="50">
        <f>'1.2'!F72</f>
        <v>77</v>
      </c>
      <c r="AA73" s="58">
        <f>'1.1'!H72</f>
        <v>44896</v>
      </c>
      <c r="AB73" s="233">
        <v>6</v>
      </c>
      <c r="AC73" s="233">
        <v>24</v>
      </c>
      <c r="AD73" s="107" t="s">
        <v>610</v>
      </c>
      <c r="AE73" s="198" t="s">
        <v>111</v>
      </c>
      <c r="AF73" s="175"/>
      <c r="AG73" s="176"/>
      <c r="AH73" s="175"/>
      <c r="AI73" s="175"/>
      <c r="AJ73" s="175"/>
    </row>
    <row r="74" spans="1:37" s="30" customFormat="1" ht="15" customHeight="1">
      <c r="A74" s="107" t="s">
        <v>59</v>
      </c>
      <c r="B74" s="46" t="s">
        <v>418</v>
      </c>
      <c r="C74" s="47">
        <f t="shared" si="21"/>
        <v>2</v>
      </c>
      <c r="D74" s="47"/>
      <c r="E74" s="48">
        <f t="shared" si="19"/>
        <v>2</v>
      </c>
      <c r="F74" s="58" t="s">
        <v>239</v>
      </c>
      <c r="G74" s="58" t="s">
        <v>121</v>
      </c>
      <c r="H74" s="51">
        <v>121286849.8</v>
      </c>
      <c r="I74" s="51">
        <v>20072432.800000001</v>
      </c>
      <c r="J74" s="51">
        <v>31606121.899999999</v>
      </c>
      <c r="K74" s="51">
        <v>64893360.5</v>
      </c>
      <c r="L74" s="51">
        <v>4714934.5999999996</v>
      </c>
      <c r="M74" s="51">
        <f t="shared" si="7"/>
        <v>121286849.8</v>
      </c>
      <c r="N74" s="51">
        <f t="shared" si="22"/>
        <v>0</v>
      </c>
      <c r="O74" s="53" t="s">
        <v>121</v>
      </c>
      <c r="P74" s="51">
        <v>9458.7999999999993</v>
      </c>
      <c r="Q74" s="51" t="s">
        <v>111</v>
      </c>
      <c r="R74" s="51" t="s">
        <v>111</v>
      </c>
      <c r="S74" s="51">
        <v>5679128.7999999998</v>
      </c>
      <c r="T74" s="51">
        <v>963588.6</v>
      </c>
      <c r="U74" s="51" t="s">
        <v>111</v>
      </c>
      <c r="V74" s="51">
        <f t="shared" si="12"/>
        <v>6652176.1999999993</v>
      </c>
      <c r="W74" s="51">
        <f t="shared" si="6"/>
        <v>127939026</v>
      </c>
      <c r="X74" s="51">
        <v>127939026.00000003</v>
      </c>
      <c r="Y74" s="51">
        <f t="shared" si="18"/>
        <v>0</v>
      </c>
      <c r="Z74" s="50" t="str">
        <f>'1.2'!F73</f>
        <v>727-ЗО</v>
      </c>
      <c r="AA74" s="58">
        <f>'1.1'!H73</f>
        <v>44922</v>
      </c>
      <c r="AB74" s="233" t="s">
        <v>218</v>
      </c>
      <c r="AC74" s="233" t="s">
        <v>111</v>
      </c>
      <c r="AD74" s="107" t="s">
        <v>111</v>
      </c>
      <c r="AE74" s="198"/>
      <c r="AF74" s="175"/>
      <c r="AG74" s="176"/>
      <c r="AH74" s="175"/>
      <c r="AI74" s="175"/>
      <c r="AJ74" s="175"/>
      <c r="AK74"/>
    </row>
    <row r="75" spans="1:37" s="30" customFormat="1" ht="15" customHeight="1">
      <c r="A75" s="107" t="s">
        <v>551</v>
      </c>
      <c r="B75" s="46" t="s">
        <v>418</v>
      </c>
      <c r="C75" s="47">
        <f t="shared" si="21"/>
        <v>2</v>
      </c>
      <c r="D75" s="47"/>
      <c r="E75" s="48">
        <f t="shared" si="19"/>
        <v>2</v>
      </c>
      <c r="F75" s="58" t="s">
        <v>239</v>
      </c>
      <c r="G75" s="58" t="s">
        <v>121</v>
      </c>
      <c r="H75" s="51">
        <v>117978785.90000001</v>
      </c>
      <c r="I75" s="144">
        <v>12336804.5</v>
      </c>
      <c r="J75" s="51">
        <v>32923129.399999999</v>
      </c>
      <c r="K75" s="51">
        <v>70756709.700000003</v>
      </c>
      <c r="L75" s="51">
        <v>1962142.3</v>
      </c>
      <c r="M75" s="51">
        <f t="shared" si="7"/>
        <v>117978785.89999999</v>
      </c>
      <c r="N75" s="51">
        <f t="shared" si="22"/>
        <v>0</v>
      </c>
      <c r="O75" s="53" t="s">
        <v>121</v>
      </c>
      <c r="P75" s="51">
        <v>157791.9</v>
      </c>
      <c r="Q75" s="51" t="s">
        <v>111</v>
      </c>
      <c r="R75" s="51" t="s">
        <v>111</v>
      </c>
      <c r="S75" s="51">
        <v>8162822</v>
      </c>
      <c r="T75" s="51">
        <v>8422964.9000000004</v>
      </c>
      <c r="U75" s="51" t="s">
        <v>111</v>
      </c>
      <c r="V75" s="51">
        <f t="shared" si="12"/>
        <v>16743578.800000001</v>
      </c>
      <c r="W75" s="51">
        <f t="shared" si="6"/>
        <v>134722364.69999999</v>
      </c>
      <c r="X75" s="51">
        <v>134722364.69999999</v>
      </c>
      <c r="Y75" s="51">
        <f t="shared" si="18"/>
        <v>0</v>
      </c>
      <c r="Z75" s="50" t="str">
        <f>'1.2'!F74</f>
        <v>132-оз</v>
      </c>
      <c r="AA75" s="58">
        <f>'1.1'!H74</f>
        <v>44889</v>
      </c>
      <c r="AB75" s="233">
        <v>5</v>
      </c>
      <c r="AC75" s="233" t="s">
        <v>577</v>
      </c>
      <c r="AD75" s="107" t="s">
        <v>111</v>
      </c>
      <c r="AE75" s="198"/>
      <c r="AF75" s="175"/>
      <c r="AG75" s="176"/>
      <c r="AH75" s="175"/>
      <c r="AI75" s="175"/>
      <c r="AJ75" s="175"/>
      <c r="AK75"/>
    </row>
    <row r="76" spans="1:37" s="30" customFormat="1" ht="15" customHeight="1">
      <c r="A76" s="107" t="s">
        <v>60</v>
      </c>
      <c r="B76" s="46" t="s">
        <v>418</v>
      </c>
      <c r="C76" s="47">
        <f t="shared" si="21"/>
        <v>2</v>
      </c>
      <c r="D76" s="47"/>
      <c r="E76" s="48">
        <f t="shared" si="19"/>
        <v>2</v>
      </c>
      <c r="F76" s="58" t="s">
        <v>239</v>
      </c>
      <c r="G76" s="58" t="s">
        <v>121</v>
      </c>
      <c r="H76" s="51">
        <v>118978059</v>
      </c>
      <c r="I76" s="51">
        <v>37496891</v>
      </c>
      <c r="J76" s="51">
        <v>48140859</v>
      </c>
      <c r="K76" s="51">
        <v>31979460</v>
      </c>
      <c r="L76" s="51">
        <v>1360849</v>
      </c>
      <c r="M76" s="51">
        <f>SUM(I76:L76)</f>
        <v>118978059</v>
      </c>
      <c r="N76" s="51">
        <f t="shared" si="22"/>
        <v>0</v>
      </c>
      <c r="O76" s="53" t="s">
        <v>121</v>
      </c>
      <c r="P76" s="51">
        <v>149298</v>
      </c>
      <c r="Q76" s="51">
        <v>350000</v>
      </c>
      <c r="R76" s="282">
        <v>8648468</v>
      </c>
      <c r="S76" s="283"/>
      <c r="T76" s="284"/>
      <c r="U76" s="51" t="s">
        <v>111</v>
      </c>
      <c r="V76" s="51">
        <f t="shared" si="12"/>
        <v>9147766</v>
      </c>
      <c r="W76" s="51">
        <f>M76+V76</f>
        <v>128125825</v>
      </c>
      <c r="X76" s="51">
        <v>128125825</v>
      </c>
      <c r="Y76" s="51">
        <f t="shared" si="18"/>
        <v>0</v>
      </c>
      <c r="Z76" s="50" t="str">
        <f>'1.2'!F75</f>
        <v>101-ЗАО</v>
      </c>
      <c r="AA76" s="58">
        <f>'1.1'!H75</f>
        <v>44889</v>
      </c>
      <c r="AB76" s="233">
        <v>9</v>
      </c>
      <c r="AC76" s="233">
        <v>15</v>
      </c>
      <c r="AD76" s="107" t="s">
        <v>605</v>
      </c>
      <c r="AE76" s="198" t="s">
        <v>111</v>
      </c>
      <c r="AF76" s="175"/>
      <c r="AG76" s="176"/>
      <c r="AH76" s="175"/>
      <c r="AI76" s="175"/>
      <c r="AJ76" s="175"/>
      <c r="AK76"/>
    </row>
    <row r="77" spans="1:37" ht="15" customHeight="1">
      <c r="A77" s="120" t="s">
        <v>61</v>
      </c>
      <c r="B77" s="43"/>
      <c r="C77" s="43"/>
      <c r="D77" s="43"/>
      <c r="E77" s="43"/>
      <c r="F77" s="59"/>
      <c r="G77" s="59"/>
      <c r="H77" s="56"/>
      <c r="I77" s="56"/>
      <c r="J77" s="56"/>
      <c r="K77" s="56"/>
      <c r="L77" s="56"/>
      <c r="M77" s="56"/>
      <c r="N77" s="56"/>
      <c r="O77" s="56"/>
      <c r="P77" s="56"/>
      <c r="Q77" s="56"/>
      <c r="R77" s="56"/>
      <c r="S77" s="56"/>
      <c r="T77" s="56"/>
      <c r="U77" s="56"/>
      <c r="V77" s="56"/>
      <c r="W77" s="56"/>
      <c r="X77" s="56"/>
      <c r="Y77" s="56"/>
      <c r="Z77" s="239"/>
      <c r="AA77" s="59"/>
      <c r="AB77" s="45"/>
      <c r="AC77" s="45"/>
      <c r="AD77" s="120"/>
      <c r="AE77" s="198"/>
      <c r="AF77" s="175"/>
      <c r="AG77" s="175"/>
      <c r="AH77" s="175"/>
      <c r="AI77" s="175"/>
      <c r="AJ77" s="175"/>
    </row>
    <row r="78" spans="1:37" s="30" customFormat="1" ht="15" customHeight="1">
      <c r="A78" s="107" t="s">
        <v>62</v>
      </c>
      <c r="B78" s="46" t="s">
        <v>419</v>
      </c>
      <c r="C78" s="47">
        <f t="shared" si="21"/>
        <v>1</v>
      </c>
      <c r="D78" s="47"/>
      <c r="E78" s="48">
        <f>C78*(1-D78)</f>
        <v>1</v>
      </c>
      <c r="F78" s="58" t="s">
        <v>232</v>
      </c>
      <c r="G78" s="58" t="s">
        <v>121</v>
      </c>
      <c r="H78" s="51" t="s">
        <v>111</v>
      </c>
      <c r="I78" s="51">
        <v>1811009.2</v>
      </c>
      <c r="J78" s="51">
        <v>2250507.5</v>
      </c>
      <c r="K78" s="51">
        <v>4318055.4000000004</v>
      </c>
      <c r="L78" s="51">
        <v>827414.4</v>
      </c>
      <c r="M78" s="51">
        <f t="shared" ref="M78:M99" si="23">SUM(I78:L78)</f>
        <v>9206986.5</v>
      </c>
      <c r="N78" s="51" t="s">
        <v>111</v>
      </c>
      <c r="O78" s="53" t="s">
        <v>122</v>
      </c>
      <c r="P78" s="51" t="s">
        <v>111</v>
      </c>
      <c r="Q78" s="51" t="s">
        <v>111</v>
      </c>
      <c r="R78" s="51" t="s">
        <v>111</v>
      </c>
      <c r="S78" s="51" t="s">
        <v>111</v>
      </c>
      <c r="T78" s="51" t="s">
        <v>111</v>
      </c>
      <c r="U78" s="51" t="s">
        <v>111</v>
      </c>
      <c r="V78" s="51">
        <f t="shared" si="12"/>
        <v>0</v>
      </c>
      <c r="W78" s="51">
        <f t="shared" ref="W78:W99" si="24">M78+V78</f>
        <v>9206986.5</v>
      </c>
      <c r="X78" s="51">
        <v>9255674.8999999966</v>
      </c>
      <c r="Y78" s="51">
        <f t="shared" si="18"/>
        <v>48688.399999996647</v>
      </c>
      <c r="Z78" s="50" t="str">
        <f>'1.2'!F77</f>
        <v>93-РЗ</v>
      </c>
      <c r="AA78" s="58">
        <f>'1.1'!H77</f>
        <v>44915</v>
      </c>
      <c r="AB78" s="233" t="s">
        <v>442</v>
      </c>
      <c r="AC78" s="233" t="s">
        <v>111</v>
      </c>
      <c r="AD78" s="107" t="s">
        <v>611</v>
      </c>
      <c r="AE78" s="198" t="s">
        <v>111</v>
      </c>
      <c r="AF78" s="175"/>
      <c r="AG78" s="176"/>
      <c r="AH78" s="175"/>
      <c r="AI78" s="175"/>
      <c r="AJ78" s="175"/>
      <c r="AK78"/>
    </row>
    <row r="79" spans="1:37" s="30" customFormat="1" ht="15" customHeight="1">
      <c r="A79" s="107" t="s">
        <v>64</v>
      </c>
      <c r="B79" s="46" t="s">
        <v>212</v>
      </c>
      <c r="C79" s="47">
        <f t="shared" si="21"/>
        <v>0</v>
      </c>
      <c r="D79" s="47"/>
      <c r="E79" s="48">
        <f t="shared" ref="E79:E87" si="25">C79*(1-D79)</f>
        <v>0</v>
      </c>
      <c r="F79" s="58" t="s">
        <v>249</v>
      </c>
      <c r="G79" s="58" t="s">
        <v>249</v>
      </c>
      <c r="H79" s="51">
        <v>18122746.100000001</v>
      </c>
      <c r="I79" s="51">
        <v>2215934.4</v>
      </c>
      <c r="J79" s="189">
        <v>2276934.6</v>
      </c>
      <c r="K79" s="51">
        <v>12948830.699999999</v>
      </c>
      <c r="L79" s="51">
        <v>681046.4</v>
      </c>
      <c r="M79" s="51">
        <f t="shared" si="23"/>
        <v>18122746.099999998</v>
      </c>
      <c r="N79" s="51">
        <f t="shared" si="22"/>
        <v>0</v>
      </c>
      <c r="O79" s="53" t="s">
        <v>122</v>
      </c>
      <c r="P79" s="51" t="s">
        <v>111</v>
      </c>
      <c r="Q79" s="51" t="s">
        <v>111</v>
      </c>
      <c r="R79" s="51" t="s">
        <v>111</v>
      </c>
      <c r="S79" s="51" t="s">
        <v>111</v>
      </c>
      <c r="T79" s="51" t="s">
        <v>111</v>
      </c>
      <c r="U79" s="51" t="s">
        <v>111</v>
      </c>
      <c r="V79" s="51">
        <f t="shared" si="12"/>
        <v>0</v>
      </c>
      <c r="W79" s="51">
        <f t="shared" si="24"/>
        <v>18122746.099999998</v>
      </c>
      <c r="X79" s="51">
        <v>18229962.100000005</v>
      </c>
      <c r="Y79" s="51">
        <f t="shared" si="18"/>
        <v>107216.00000000745</v>
      </c>
      <c r="Z79" s="50" t="str">
        <f>'1.2'!F78</f>
        <v>887-ЗРТ</v>
      </c>
      <c r="AA79" s="58">
        <f>'1.1'!H78</f>
        <v>44910</v>
      </c>
      <c r="AB79" s="233">
        <v>7</v>
      </c>
      <c r="AC79" s="233" t="s">
        <v>111</v>
      </c>
      <c r="AD79" s="107" t="s">
        <v>639</v>
      </c>
      <c r="AE79" s="198" t="s">
        <v>111</v>
      </c>
      <c r="AF79" s="175"/>
      <c r="AG79" s="176"/>
      <c r="AH79" s="175"/>
      <c r="AI79" s="175"/>
      <c r="AJ79" s="175"/>
      <c r="AK79"/>
    </row>
    <row r="80" spans="1:37" s="30" customFormat="1" ht="15" customHeight="1">
      <c r="A80" s="107" t="s">
        <v>65</v>
      </c>
      <c r="B80" s="46" t="s">
        <v>418</v>
      </c>
      <c r="C80" s="47">
        <f t="shared" si="21"/>
        <v>2</v>
      </c>
      <c r="D80" s="47"/>
      <c r="E80" s="48">
        <f t="shared" si="25"/>
        <v>2</v>
      </c>
      <c r="F80" s="58" t="s">
        <v>239</v>
      </c>
      <c r="G80" s="58" t="s">
        <v>121</v>
      </c>
      <c r="H80" s="51">
        <v>20089522</v>
      </c>
      <c r="I80" s="51">
        <v>1619760</v>
      </c>
      <c r="J80" s="51">
        <v>5972468</v>
      </c>
      <c r="K80" s="51">
        <v>11766646</v>
      </c>
      <c r="L80" s="51">
        <v>730648</v>
      </c>
      <c r="M80" s="51">
        <f t="shared" si="23"/>
        <v>20089522</v>
      </c>
      <c r="N80" s="51">
        <f t="shared" si="22"/>
        <v>0</v>
      </c>
      <c r="O80" s="53" t="s">
        <v>121</v>
      </c>
      <c r="P80" s="51">
        <v>1536</v>
      </c>
      <c r="Q80" s="51" t="s">
        <v>111</v>
      </c>
      <c r="R80" s="51" t="s">
        <v>111</v>
      </c>
      <c r="S80" s="51">
        <v>601488</v>
      </c>
      <c r="T80" s="51" t="s">
        <v>111</v>
      </c>
      <c r="U80" s="51" t="s">
        <v>111</v>
      </c>
      <c r="V80" s="51">
        <f t="shared" si="12"/>
        <v>603024</v>
      </c>
      <c r="W80" s="51">
        <f t="shared" si="24"/>
        <v>20692546</v>
      </c>
      <c r="X80" s="51">
        <v>20692546</v>
      </c>
      <c r="Y80" s="51">
        <f t="shared" si="18"/>
        <v>0</v>
      </c>
      <c r="Z80" s="50" t="str">
        <f>'1.2'!F79</f>
        <v>110-ЗРХ</v>
      </c>
      <c r="AA80" s="58">
        <f>'1.1'!H79</f>
        <v>44914</v>
      </c>
      <c r="AB80" s="233" t="s">
        <v>583</v>
      </c>
      <c r="AC80" s="233" t="s">
        <v>111</v>
      </c>
      <c r="AD80" s="107" t="s">
        <v>111</v>
      </c>
      <c r="AE80" s="198"/>
      <c r="AF80" s="175"/>
      <c r="AG80" s="176"/>
      <c r="AH80" s="175"/>
      <c r="AI80" s="175"/>
      <c r="AJ80" s="175"/>
      <c r="AK80"/>
    </row>
    <row r="81" spans="1:37" ht="15" customHeight="1">
      <c r="A81" s="107" t="s">
        <v>66</v>
      </c>
      <c r="B81" s="46" t="s">
        <v>212</v>
      </c>
      <c r="C81" s="47">
        <f t="shared" si="21"/>
        <v>0</v>
      </c>
      <c r="D81" s="47"/>
      <c r="E81" s="48">
        <f t="shared" si="25"/>
        <v>0</v>
      </c>
      <c r="F81" s="58" t="s">
        <v>122</v>
      </c>
      <c r="G81" s="58" t="s">
        <v>122</v>
      </c>
      <c r="H81" s="51" t="s">
        <v>111</v>
      </c>
      <c r="I81" s="51">
        <v>2400000</v>
      </c>
      <c r="J81" s="51" t="s">
        <v>111</v>
      </c>
      <c r="K81" s="51">
        <v>85554.5</v>
      </c>
      <c r="L81" s="51" t="s">
        <v>111</v>
      </c>
      <c r="M81" s="51">
        <f t="shared" si="23"/>
        <v>2485554.5</v>
      </c>
      <c r="N81" s="51" t="s">
        <v>111</v>
      </c>
      <c r="O81" s="53" t="s">
        <v>122</v>
      </c>
      <c r="P81" s="51" t="s">
        <v>111</v>
      </c>
      <c r="Q81" s="51" t="s">
        <v>111</v>
      </c>
      <c r="R81" s="51" t="s">
        <v>111</v>
      </c>
      <c r="S81" s="51" t="s">
        <v>111</v>
      </c>
      <c r="T81" s="51" t="s">
        <v>111</v>
      </c>
      <c r="U81" s="51" t="s">
        <v>111</v>
      </c>
      <c r="V81" s="51">
        <f t="shared" si="12"/>
        <v>0</v>
      </c>
      <c r="W81" s="51">
        <f t="shared" si="24"/>
        <v>2485554.5</v>
      </c>
      <c r="X81" s="51">
        <v>53142504.800000012</v>
      </c>
      <c r="Y81" s="51">
        <f>X81-W81</f>
        <v>50656950.300000012</v>
      </c>
      <c r="Z81" s="50" t="str">
        <f>'1.2'!F80</f>
        <v>110-ЗС</v>
      </c>
      <c r="AA81" s="58">
        <f>'1.1'!H80</f>
        <v>44895</v>
      </c>
      <c r="AB81" s="233" t="s">
        <v>216</v>
      </c>
      <c r="AC81" s="233" t="s">
        <v>111</v>
      </c>
      <c r="AD81" s="107" t="s">
        <v>579</v>
      </c>
      <c r="AE81" s="198" t="s">
        <v>111</v>
      </c>
      <c r="AF81" s="175"/>
      <c r="AG81" s="176"/>
      <c r="AH81" s="175"/>
      <c r="AI81" s="175"/>
      <c r="AJ81" s="175"/>
    </row>
    <row r="82" spans="1:37" ht="15" customHeight="1">
      <c r="A82" s="107" t="s">
        <v>68</v>
      </c>
      <c r="B82" s="46" t="s">
        <v>419</v>
      </c>
      <c r="C82" s="47">
        <f t="shared" si="21"/>
        <v>1</v>
      </c>
      <c r="D82" s="47"/>
      <c r="E82" s="48">
        <f t="shared" si="25"/>
        <v>1</v>
      </c>
      <c r="F82" s="58" t="s">
        <v>232</v>
      </c>
      <c r="G82" s="58" t="s">
        <v>121</v>
      </c>
      <c r="H82" s="51" t="s">
        <v>111</v>
      </c>
      <c r="I82" s="51">
        <v>30356274.399999999</v>
      </c>
      <c r="J82" s="51">
        <v>22088011.399999999</v>
      </c>
      <c r="K82" s="51">
        <v>67064844.299999997</v>
      </c>
      <c r="L82" s="51">
        <v>6285573.4000000004</v>
      </c>
      <c r="M82" s="51">
        <f t="shared" si="23"/>
        <v>125794703.5</v>
      </c>
      <c r="N82" s="51" t="s">
        <v>111</v>
      </c>
      <c r="O82" s="53" t="s">
        <v>122</v>
      </c>
      <c r="P82" s="51" t="s">
        <v>111</v>
      </c>
      <c r="Q82" s="51" t="s">
        <v>111</v>
      </c>
      <c r="R82" s="51" t="s">
        <v>111</v>
      </c>
      <c r="S82" s="51" t="s">
        <v>111</v>
      </c>
      <c r="T82" s="51" t="s">
        <v>111</v>
      </c>
      <c r="U82" s="51" t="s">
        <v>111</v>
      </c>
      <c r="V82" s="51">
        <f t="shared" si="12"/>
        <v>0</v>
      </c>
      <c r="W82" s="51">
        <f t="shared" si="24"/>
        <v>125794703.5</v>
      </c>
      <c r="X82" s="51">
        <v>134244200.59999999</v>
      </c>
      <c r="Y82" s="51">
        <f t="shared" si="18"/>
        <v>8449497.099999994</v>
      </c>
      <c r="Z82" s="50" t="str">
        <f>'1.2'!F81</f>
        <v>4-1351</v>
      </c>
      <c r="AA82" s="58">
        <f>'1.1'!H81</f>
        <v>44915</v>
      </c>
      <c r="AB82" s="233" t="s">
        <v>441</v>
      </c>
      <c r="AC82" s="233" t="s">
        <v>111</v>
      </c>
      <c r="AD82" s="107" t="s">
        <v>612</v>
      </c>
      <c r="AE82" s="198" t="s">
        <v>111</v>
      </c>
      <c r="AF82" s="175"/>
      <c r="AG82" s="176"/>
      <c r="AH82" s="175"/>
      <c r="AI82" s="175"/>
      <c r="AJ82" s="175"/>
    </row>
    <row r="83" spans="1:37" s="7" customFormat="1" ht="15" customHeight="1">
      <c r="A83" s="107" t="s">
        <v>69</v>
      </c>
      <c r="B83" s="46" t="s">
        <v>418</v>
      </c>
      <c r="C83" s="47">
        <f t="shared" si="21"/>
        <v>2</v>
      </c>
      <c r="D83" s="47"/>
      <c r="E83" s="48">
        <f t="shared" si="25"/>
        <v>2</v>
      </c>
      <c r="F83" s="58" t="s">
        <v>239</v>
      </c>
      <c r="G83" s="58" t="s">
        <v>121</v>
      </c>
      <c r="H83" s="51">
        <v>108870769.40000001</v>
      </c>
      <c r="I83" s="51">
        <v>6557741.9000000004</v>
      </c>
      <c r="J83" s="51">
        <v>40552855.299999997</v>
      </c>
      <c r="K83" s="51">
        <v>57137752</v>
      </c>
      <c r="L83" s="51">
        <v>4622420.2</v>
      </c>
      <c r="M83" s="51">
        <f t="shared" si="23"/>
        <v>108870769.39999999</v>
      </c>
      <c r="N83" s="51">
        <f t="shared" si="22"/>
        <v>0</v>
      </c>
      <c r="O83" s="58" t="s">
        <v>121</v>
      </c>
      <c r="P83" s="51">
        <v>2209</v>
      </c>
      <c r="Q83" s="51" t="s">
        <v>111</v>
      </c>
      <c r="R83" s="51" t="s">
        <v>111</v>
      </c>
      <c r="S83" s="51">
        <v>6436547.9000000004</v>
      </c>
      <c r="T83" s="51" t="s">
        <v>111</v>
      </c>
      <c r="U83" s="51" t="s">
        <v>111</v>
      </c>
      <c r="V83" s="51">
        <f t="shared" si="12"/>
        <v>6438756.9000000004</v>
      </c>
      <c r="W83" s="51">
        <f t="shared" si="24"/>
        <v>115309526.3</v>
      </c>
      <c r="X83" s="51">
        <v>115309526.30000003</v>
      </c>
      <c r="Y83" s="51">
        <f t="shared" si="18"/>
        <v>0</v>
      </c>
      <c r="Z83" s="50" t="str">
        <f>'1.2'!F82</f>
        <v>112-ОЗ</v>
      </c>
      <c r="AA83" s="58">
        <f>'1.1'!H82</f>
        <v>44907</v>
      </c>
      <c r="AB83" s="233">
        <v>10</v>
      </c>
      <c r="AC83" s="233" t="s">
        <v>111</v>
      </c>
      <c r="AD83" s="107" t="s">
        <v>111</v>
      </c>
      <c r="AE83" s="212"/>
      <c r="AF83" s="180"/>
      <c r="AG83" s="180"/>
      <c r="AH83" s="180"/>
      <c r="AI83" s="180"/>
      <c r="AJ83" s="180"/>
      <c r="AK83"/>
    </row>
    <row r="84" spans="1:37" s="30" customFormat="1" ht="15" customHeight="1">
      <c r="A84" s="107" t="s">
        <v>552</v>
      </c>
      <c r="B84" s="46" t="s">
        <v>418</v>
      </c>
      <c r="C84" s="47">
        <f t="shared" si="21"/>
        <v>2</v>
      </c>
      <c r="D84" s="47"/>
      <c r="E84" s="48">
        <f t="shared" si="25"/>
        <v>2</v>
      </c>
      <c r="F84" s="58" t="s">
        <v>239</v>
      </c>
      <c r="G84" s="58" t="s">
        <v>121</v>
      </c>
      <c r="H84" s="51">
        <v>122191488.3</v>
      </c>
      <c r="I84" s="51">
        <v>18085035</v>
      </c>
      <c r="J84" s="51">
        <v>34879664.799999997</v>
      </c>
      <c r="K84" s="51">
        <v>61563041.299999997</v>
      </c>
      <c r="L84" s="51">
        <v>7663747.2000000002</v>
      </c>
      <c r="M84" s="51">
        <f t="shared" si="23"/>
        <v>122191488.3</v>
      </c>
      <c r="N84" s="51">
        <f t="shared" si="22"/>
        <v>0</v>
      </c>
      <c r="O84" s="53" t="s">
        <v>121</v>
      </c>
      <c r="P84" s="51">
        <v>5342.9</v>
      </c>
      <c r="Q84" s="51" t="s">
        <v>111</v>
      </c>
      <c r="R84" s="51" t="s">
        <v>111</v>
      </c>
      <c r="S84" s="51">
        <v>3746298.6</v>
      </c>
      <c r="T84" s="51">
        <v>229400</v>
      </c>
      <c r="U84" s="51" t="s">
        <v>111</v>
      </c>
      <c r="V84" s="51">
        <f t="shared" si="12"/>
        <v>3981041.5</v>
      </c>
      <c r="W84" s="51">
        <f t="shared" si="24"/>
        <v>126172529.8</v>
      </c>
      <c r="X84" s="51">
        <v>126172529.8</v>
      </c>
      <c r="Y84" s="51">
        <f t="shared" si="18"/>
        <v>0</v>
      </c>
      <c r="Z84" s="50" t="str">
        <f>'1.2'!F83</f>
        <v>145-ОЗ</v>
      </c>
      <c r="AA84" s="58">
        <f>'1.1'!H83</f>
        <v>44910</v>
      </c>
      <c r="AB84" s="233">
        <v>9</v>
      </c>
      <c r="AC84" s="233" t="s">
        <v>111</v>
      </c>
      <c r="AD84" s="107" t="s">
        <v>111</v>
      </c>
      <c r="AE84" s="212"/>
      <c r="AF84" s="180"/>
      <c r="AG84" s="180"/>
      <c r="AH84" s="180"/>
      <c r="AI84" s="180"/>
      <c r="AJ84" s="180"/>
      <c r="AK84"/>
    </row>
    <row r="85" spans="1:37" ht="15" customHeight="1">
      <c r="A85" s="107" t="s">
        <v>70</v>
      </c>
      <c r="B85" s="46" t="s">
        <v>419</v>
      </c>
      <c r="C85" s="47">
        <f t="shared" si="21"/>
        <v>1</v>
      </c>
      <c r="D85" s="47"/>
      <c r="E85" s="48">
        <f t="shared" si="25"/>
        <v>1</v>
      </c>
      <c r="F85" s="58" t="s">
        <v>232</v>
      </c>
      <c r="G85" s="58" t="s">
        <v>121</v>
      </c>
      <c r="H85" s="51" t="s">
        <v>111</v>
      </c>
      <c r="I85" s="51">
        <v>4324552.4000000004</v>
      </c>
      <c r="J85" s="51">
        <v>55563815.200000003</v>
      </c>
      <c r="K85" s="51">
        <v>53259834.5</v>
      </c>
      <c r="L85" s="51">
        <v>5623895.2000000002</v>
      </c>
      <c r="M85" s="51">
        <f t="shared" si="23"/>
        <v>118772097.3</v>
      </c>
      <c r="N85" s="51" t="s">
        <v>111</v>
      </c>
      <c r="O85" s="53" t="s">
        <v>122</v>
      </c>
      <c r="P85" s="51">
        <v>4393.3</v>
      </c>
      <c r="Q85" s="51" t="s">
        <v>111</v>
      </c>
      <c r="R85" s="51"/>
      <c r="S85" s="51">
        <f>2558592.3+3226180.3</f>
        <v>5784772.5999999996</v>
      </c>
      <c r="T85" s="51" t="s">
        <v>111</v>
      </c>
      <c r="U85" s="51" t="s">
        <v>111</v>
      </c>
      <c r="V85" s="51">
        <f t="shared" si="12"/>
        <v>5789165.8999999994</v>
      </c>
      <c r="W85" s="51">
        <f t="shared" si="24"/>
        <v>124561263.2</v>
      </c>
      <c r="X85" s="51">
        <v>124589263.39999995</v>
      </c>
      <c r="Y85" s="51">
        <f t="shared" si="18"/>
        <v>28000.199999943376</v>
      </c>
      <c r="Z85" s="50" t="str">
        <f>'1.2'!F84</f>
        <v>307-ОЗ</v>
      </c>
      <c r="AA85" s="58">
        <f>'1.1'!H84</f>
        <v>44918</v>
      </c>
      <c r="AB85" s="233" t="s">
        <v>584</v>
      </c>
      <c r="AC85" s="233" t="s">
        <v>111</v>
      </c>
      <c r="AD85" s="107" t="s">
        <v>600</v>
      </c>
      <c r="AE85" s="212" t="s">
        <v>111</v>
      </c>
      <c r="AF85" s="180"/>
      <c r="AG85" s="180"/>
      <c r="AH85" s="180"/>
      <c r="AI85" s="180"/>
      <c r="AJ85" s="180"/>
    </row>
    <row r="86" spans="1:37" ht="15" customHeight="1">
      <c r="A86" s="107" t="s">
        <v>71</v>
      </c>
      <c r="B86" s="46" t="s">
        <v>418</v>
      </c>
      <c r="C86" s="47">
        <f t="shared" si="21"/>
        <v>2</v>
      </c>
      <c r="D86" s="47"/>
      <c r="E86" s="48">
        <f t="shared" si="25"/>
        <v>2</v>
      </c>
      <c r="F86" s="58" t="s">
        <v>239</v>
      </c>
      <c r="G86" s="58" t="s">
        <v>121</v>
      </c>
      <c r="H86" s="51" t="s">
        <v>111</v>
      </c>
      <c r="I86" s="51">
        <f>(7533194723-4719387039+841330105+250000)/1000</f>
        <v>3655387.7889999999</v>
      </c>
      <c r="J86" s="51">
        <f>11862299855.79/1000</f>
        <v>11862299.85579</v>
      </c>
      <c r="K86" s="51">
        <f>18644851031.11/1000</f>
        <v>18644851.03111</v>
      </c>
      <c r="L86" s="51">
        <f>1170972790/1000</f>
        <v>1170972.79</v>
      </c>
      <c r="M86" s="51">
        <f t="shared" si="23"/>
        <v>35333511.465899996</v>
      </c>
      <c r="N86" s="51" t="s">
        <v>111</v>
      </c>
      <c r="O86" s="53" t="s">
        <v>121</v>
      </c>
      <c r="P86" s="51">
        <f>2195100/1000</f>
        <v>2195.1</v>
      </c>
      <c r="Q86" s="51" t="s">
        <v>111</v>
      </c>
      <c r="R86" s="51" t="s">
        <v>111</v>
      </c>
      <c r="S86" s="51">
        <f>(1437894126.24+25000000)/1000</f>
        <v>1462894.1262399999</v>
      </c>
      <c r="T86" s="51" t="s">
        <v>111</v>
      </c>
      <c r="U86" s="51" t="s">
        <v>111</v>
      </c>
      <c r="V86" s="51">
        <f t="shared" si="12"/>
        <v>1465089.22624</v>
      </c>
      <c r="W86" s="51">
        <f t="shared" si="24"/>
        <v>36798600.692139998</v>
      </c>
      <c r="X86" s="51">
        <v>36798600.692140006</v>
      </c>
      <c r="Y86" s="51">
        <f t="shared" si="18"/>
        <v>0</v>
      </c>
      <c r="Z86" s="50" t="str">
        <f>'1.2'!F85</f>
        <v>2537-ОЗ</v>
      </c>
      <c r="AA86" s="58">
        <f>'1.1'!H85</f>
        <v>44917</v>
      </c>
      <c r="AB86" s="233">
        <v>9</v>
      </c>
      <c r="AC86" s="233" t="s">
        <v>111</v>
      </c>
      <c r="AD86" s="107" t="s">
        <v>601</v>
      </c>
      <c r="AE86" s="212" t="s">
        <v>111</v>
      </c>
      <c r="AF86" s="180"/>
      <c r="AG86" s="180"/>
      <c r="AH86" s="180"/>
      <c r="AI86" s="180"/>
      <c r="AJ86" s="180"/>
    </row>
    <row r="87" spans="1:37" s="30" customFormat="1" ht="15" customHeight="1">
      <c r="A87" s="107" t="s">
        <v>72</v>
      </c>
      <c r="B87" s="46" t="s">
        <v>419</v>
      </c>
      <c r="C87" s="47">
        <f t="shared" si="21"/>
        <v>1</v>
      </c>
      <c r="D87" s="47"/>
      <c r="E87" s="48">
        <f t="shared" si="25"/>
        <v>1</v>
      </c>
      <c r="F87" s="58" t="s">
        <v>232</v>
      </c>
      <c r="G87" s="58" t="s">
        <v>121</v>
      </c>
      <c r="H87" s="51">
        <v>38627910.5</v>
      </c>
      <c r="I87" s="51">
        <v>6633199.2999999998</v>
      </c>
      <c r="J87" s="51">
        <v>12985571.4</v>
      </c>
      <c r="K87" s="51">
        <v>16428667.800000001</v>
      </c>
      <c r="L87" s="51">
        <v>2580472</v>
      </c>
      <c r="M87" s="51">
        <f t="shared" si="23"/>
        <v>38627910.5</v>
      </c>
      <c r="N87" s="51">
        <f t="shared" si="22"/>
        <v>0</v>
      </c>
      <c r="O87" s="53" t="s">
        <v>122</v>
      </c>
      <c r="P87" s="51">
        <v>6593.7</v>
      </c>
      <c r="Q87" s="51"/>
      <c r="R87" s="51"/>
      <c r="S87" s="51" t="s">
        <v>111</v>
      </c>
      <c r="T87" s="51" t="s">
        <v>111</v>
      </c>
      <c r="U87" s="51" t="s">
        <v>111</v>
      </c>
      <c r="V87" s="51">
        <f t="shared" si="12"/>
        <v>6593.7</v>
      </c>
      <c r="W87" s="51">
        <f t="shared" si="24"/>
        <v>38634504.200000003</v>
      </c>
      <c r="X87" s="51">
        <v>39798086.199999988</v>
      </c>
      <c r="Y87" s="51">
        <f t="shared" si="18"/>
        <v>1163581.9999999851</v>
      </c>
      <c r="Z87" s="50" t="str">
        <f>'1.2'!F86</f>
        <v>141-ОЗ</v>
      </c>
      <c r="AA87" s="58">
        <f>'1.1'!H86</f>
        <v>44923</v>
      </c>
      <c r="AB87" s="233" t="s">
        <v>450</v>
      </c>
      <c r="AC87" s="233" t="s">
        <v>215</v>
      </c>
      <c r="AD87" s="107" t="s">
        <v>602</v>
      </c>
      <c r="AE87" s="212" t="s">
        <v>111</v>
      </c>
      <c r="AF87" s="180"/>
      <c r="AG87" s="180"/>
      <c r="AH87" s="180"/>
      <c r="AI87" s="180"/>
      <c r="AJ87" s="180"/>
      <c r="AK87"/>
    </row>
    <row r="88" spans="1:37" ht="15" customHeight="1">
      <c r="A88" s="120" t="s">
        <v>73</v>
      </c>
      <c r="B88" s="43"/>
      <c r="C88" s="43"/>
      <c r="D88" s="43"/>
      <c r="E88" s="43"/>
      <c r="F88" s="59"/>
      <c r="G88" s="59"/>
      <c r="H88" s="56"/>
      <c r="I88" s="56"/>
      <c r="J88" s="56"/>
      <c r="K88" s="56"/>
      <c r="L88" s="56"/>
      <c r="M88" s="56"/>
      <c r="N88" s="56"/>
      <c r="O88" s="56"/>
      <c r="P88" s="56"/>
      <c r="Q88" s="56"/>
      <c r="R88" s="56"/>
      <c r="S88" s="56"/>
      <c r="T88" s="56"/>
      <c r="U88" s="56"/>
      <c r="V88" s="56"/>
      <c r="W88" s="56"/>
      <c r="X88" s="56"/>
      <c r="Y88" s="56"/>
      <c r="Z88" s="239"/>
      <c r="AA88" s="59"/>
      <c r="AB88" s="45"/>
      <c r="AC88" s="45"/>
      <c r="AD88" s="142"/>
      <c r="AE88" s="212"/>
      <c r="AF88" s="180"/>
      <c r="AG88" s="180"/>
      <c r="AH88" s="180"/>
      <c r="AI88" s="180"/>
      <c r="AJ88" s="180"/>
    </row>
    <row r="89" spans="1:37" s="30" customFormat="1" ht="15" customHeight="1">
      <c r="A89" s="107" t="s">
        <v>63</v>
      </c>
      <c r="B89" s="46" t="s">
        <v>419</v>
      </c>
      <c r="C89" s="47">
        <f t="shared" si="21"/>
        <v>1</v>
      </c>
      <c r="D89" s="47"/>
      <c r="E89" s="48">
        <f t="shared" ref="E89:E99" si="26">C89*(1-D89)</f>
        <v>1</v>
      </c>
      <c r="F89" s="58" t="s">
        <v>232</v>
      </c>
      <c r="G89" s="58" t="s">
        <v>121</v>
      </c>
      <c r="H89" s="51">
        <v>44914923.600000001</v>
      </c>
      <c r="I89" s="51">
        <v>3250508.4</v>
      </c>
      <c r="J89" s="51">
        <v>25362062.600000001</v>
      </c>
      <c r="K89" s="51">
        <v>12817603.4</v>
      </c>
      <c r="L89" s="51">
        <v>3484749.5</v>
      </c>
      <c r="M89" s="51">
        <f t="shared" si="23"/>
        <v>44914923.899999999</v>
      </c>
      <c r="N89" s="51">
        <f t="shared" si="22"/>
        <v>-0.29999999701976776</v>
      </c>
      <c r="O89" s="53" t="s">
        <v>122</v>
      </c>
      <c r="P89" s="51" t="s">
        <v>111</v>
      </c>
      <c r="Q89" s="51" t="s">
        <v>111</v>
      </c>
      <c r="R89" s="51" t="s">
        <v>111</v>
      </c>
      <c r="S89" s="51" t="s">
        <v>111</v>
      </c>
      <c r="T89" s="51" t="s">
        <v>111</v>
      </c>
      <c r="U89" s="51" t="s">
        <v>111</v>
      </c>
      <c r="V89" s="51">
        <f t="shared" si="12"/>
        <v>0</v>
      </c>
      <c r="W89" s="51">
        <f t="shared" si="24"/>
        <v>44914923.899999999</v>
      </c>
      <c r="X89" s="51">
        <v>44968923.599999979</v>
      </c>
      <c r="Y89" s="51">
        <f t="shared" si="18"/>
        <v>53999.699999980628</v>
      </c>
      <c r="Z89" s="50" t="str">
        <f>'1.2'!F88</f>
        <v>2487-VI</v>
      </c>
      <c r="AA89" s="58">
        <f>'1.1'!H88</f>
        <v>44916</v>
      </c>
      <c r="AB89" s="233">
        <v>6</v>
      </c>
      <c r="AC89" s="233" t="s">
        <v>111</v>
      </c>
      <c r="AD89" s="107" t="s">
        <v>608</v>
      </c>
      <c r="AE89" s="212" t="s">
        <v>111</v>
      </c>
      <c r="AF89" s="180"/>
      <c r="AG89" s="180"/>
      <c r="AH89" s="180"/>
      <c r="AI89" s="180"/>
      <c r="AJ89" s="180"/>
      <c r="AK89"/>
    </row>
    <row r="90" spans="1:37" s="30" customFormat="1" ht="15" customHeight="1">
      <c r="A90" s="107" t="s">
        <v>74</v>
      </c>
      <c r="B90" s="46" t="s">
        <v>212</v>
      </c>
      <c r="C90" s="47">
        <f t="shared" si="21"/>
        <v>0</v>
      </c>
      <c r="D90" s="47"/>
      <c r="E90" s="48">
        <f t="shared" si="26"/>
        <v>0</v>
      </c>
      <c r="F90" s="58" t="s">
        <v>249</v>
      </c>
      <c r="G90" s="58" t="s">
        <v>249</v>
      </c>
      <c r="H90" s="189">
        <v>102358696.8</v>
      </c>
      <c r="I90" s="189">
        <f>25097818.3+699999.6</f>
        <v>25797817.900000002</v>
      </c>
      <c r="J90" s="189">
        <v>9522594.6999999993</v>
      </c>
      <c r="K90" s="189">
        <v>63681769.200000003</v>
      </c>
      <c r="L90" s="189">
        <v>3356515</v>
      </c>
      <c r="M90" s="51">
        <f t="shared" si="23"/>
        <v>102358696.80000001</v>
      </c>
      <c r="N90" s="51">
        <f t="shared" si="22"/>
        <v>0</v>
      </c>
      <c r="O90" s="53" t="s">
        <v>111</v>
      </c>
      <c r="P90" s="51">
        <v>3150</v>
      </c>
      <c r="Q90" s="51" t="s">
        <v>111</v>
      </c>
      <c r="R90" s="51"/>
      <c r="S90" s="51">
        <v>20117</v>
      </c>
      <c r="T90" s="51">
        <v>1577801.1</v>
      </c>
      <c r="U90" s="51" t="s">
        <v>111</v>
      </c>
      <c r="V90" s="51">
        <f t="shared" si="12"/>
        <v>1601068.1</v>
      </c>
      <c r="W90" s="51">
        <f t="shared" si="24"/>
        <v>103959764.90000001</v>
      </c>
      <c r="X90" s="51">
        <v>103959763</v>
      </c>
      <c r="Y90" s="51">
        <f t="shared" si="18"/>
        <v>-1.9000000059604645</v>
      </c>
      <c r="Z90" s="50" t="str">
        <f>'1.2'!F89</f>
        <v>1015-VI</v>
      </c>
      <c r="AA90" s="58">
        <f>'1.1'!H89</f>
        <v>44904</v>
      </c>
      <c r="AB90" s="233">
        <v>7</v>
      </c>
      <c r="AC90" s="233" t="s">
        <v>111</v>
      </c>
      <c r="AD90" s="107" t="s">
        <v>629</v>
      </c>
      <c r="AE90" s="212" t="s">
        <v>111</v>
      </c>
      <c r="AF90" s="180"/>
      <c r="AG90" s="180"/>
      <c r="AH90" s="180"/>
      <c r="AI90" s="180"/>
      <c r="AJ90" s="180"/>
      <c r="AK90"/>
    </row>
    <row r="91" spans="1:37" s="30" customFormat="1" ht="15" customHeight="1">
      <c r="A91" s="107" t="s">
        <v>67</v>
      </c>
      <c r="B91" s="46" t="s">
        <v>418</v>
      </c>
      <c r="C91" s="47">
        <f t="shared" si="21"/>
        <v>2</v>
      </c>
      <c r="D91" s="47"/>
      <c r="E91" s="48">
        <f t="shared" si="26"/>
        <v>2</v>
      </c>
      <c r="F91" s="58" t="s">
        <v>239</v>
      </c>
      <c r="G91" s="58" t="s">
        <v>121</v>
      </c>
      <c r="H91" s="51">
        <v>32980297.399999999</v>
      </c>
      <c r="I91" s="51">
        <v>6545995</v>
      </c>
      <c r="J91" s="51">
        <v>5638952.5999999996</v>
      </c>
      <c r="K91" s="51">
        <v>14451524.699999999</v>
      </c>
      <c r="L91" s="51">
        <v>6343825.0999999996</v>
      </c>
      <c r="M91" s="51">
        <f t="shared" si="23"/>
        <v>32980297.399999999</v>
      </c>
      <c r="N91" s="51">
        <f t="shared" si="22"/>
        <v>0</v>
      </c>
      <c r="O91" s="53" t="s">
        <v>121</v>
      </c>
      <c r="P91" s="51">
        <v>4597.1000000000004</v>
      </c>
      <c r="Q91" s="51" t="s">
        <v>111</v>
      </c>
      <c r="R91" s="51" t="s">
        <v>111</v>
      </c>
      <c r="S91" s="51">
        <f>7200+606311+764509.7</f>
        <v>1378020.7</v>
      </c>
      <c r="T91" s="51" t="s">
        <v>111</v>
      </c>
      <c r="U91" s="51" t="s">
        <v>111</v>
      </c>
      <c r="V91" s="51">
        <f t="shared" si="12"/>
        <v>1382617.8</v>
      </c>
      <c r="W91" s="51">
        <f t="shared" si="24"/>
        <v>34362915.199999996</v>
      </c>
      <c r="X91" s="51">
        <v>34362915.199999996</v>
      </c>
      <c r="Y91" s="51">
        <f t="shared" si="18"/>
        <v>0</v>
      </c>
      <c r="Z91" s="50" t="str">
        <f>'1.2'!F90</f>
        <v>2134-ЗЗК</v>
      </c>
      <c r="AA91" s="58">
        <f>'1.1'!H90</f>
        <v>44917</v>
      </c>
      <c r="AB91" s="233">
        <v>9</v>
      </c>
      <c r="AC91" s="233" t="s">
        <v>585</v>
      </c>
      <c r="AD91" s="107" t="s">
        <v>111</v>
      </c>
      <c r="AE91" s="212" t="s">
        <v>111</v>
      </c>
      <c r="AF91" s="180"/>
      <c r="AG91" s="180"/>
      <c r="AH91" s="180"/>
      <c r="AI91" s="180"/>
      <c r="AJ91" s="180"/>
      <c r="AK91"/>
    </row>
    <row r="92" spans="1:37" s="30" customFormat="1" ht="15" customHeight="1">
      <c r="A92" s="107" t="s">
        <v>75</v>
      </c>
      <c r="B92" s="46" t="s">
        <v>419</v>
      </c>
      <c r="C92" s="47">
        <f t="shared" si="21"/>
        <v>1</v>
      </c>
      <c r="D92" s="47"/>
      <c r="E92" s="48">
        <f t="shared" si="26"/>
        <v>1</v>
      </c>
      <c r="F92" s="58" t="s">
        <v>232</v>
      </c>
      <c r="G92" s="58" t="s">
        <v>121</v>
      </c>
      <c r="H92" s="51">
        <v>23809655.488620002</v>
      </c>
      <c r="I92" s="51">
        <f>1589583+1017218.688</f>
        <v>2606801.6880000001</v>
      </c>
      <c r="J92" s="51">
        <v>5808307.3542999998</v>
      </c>
      <c r="K92" s="51">
        <v>14283348.24632</v>
      </c>
      <c r="L92" s="51">
        <v>1111198.2</v>
      </c>
      <c r="M92" s="51">
        <f t="shared" si="23"/>
        <v>23809655.488620002</v>
      </c>
      <c r="N92" s="51">
        <f t="shared" si="22"/>
        <v>0</v>
      </c>
      <c r="O92" s="53" t="s">
        <v>122</v>
      </c>
      <c r="P92" s="51" t="s">
        <v>111</v>
      </c>
      <c r="Q92" s="51" t="s">
        <v>111</v>
      </c>
      <c r="R92" s="51" t="s">
        <v>111</v>
      </c>
      <c r="S92" s="51" t="s">
        <v>111</v>
      </c>
      <c r="T92" s="51" t="s">
        <v>111</v>
      </c>
      <c r="U92" s="51" t="s">
        <v>111</v>
      </c>
      <c r="V92" s="51">
        <f t="shared" si="12"/>
        <v>0</v>
      </c>
      <c r="W92" s="51">
        <f t="shared" si="24"/>
        <v>23809655.488620002</v>
      </c>
      <c r="X92" s="51">
        <v>23814713.488619991</v>
      </c>
      <c r="Y92" s="51">
        <f t="shared" si="18"/>
        <v>5057.9999999888241</v>
      </c>
      <c r="Z92" s="50">
        <f>'1.2'!F91</f>
        <v>155</v>
      </c>
      <c r="AA92" s="58">
        <f>'1.1'!H91</f>
        <v>44894</v>
      </c>
      <c r="AB92" s="233">
        <v>6</v>
      </c>
      <c r="AC92" s="233" t="s">
        <v>111</v>
      </c>
      <c r="AD92" s="107" t="s">
        <v>613</v>
      </c>
      <c r="AE92" s="212" t="s">
        <v>111</v>
      </c>
      <c r="AF92" s="180"/>
      <c r="AG92" s="180"/>
      <c r="AH92" s="180"/>
      <c r="AI92" s="180"/>
      <c r="AJ92" s="180"/>
      <c r="AK92"/>
    </row>
    <row r="93" spans="1:37" ht="15" customHeight="1">
      <c r="A93" s="107" t="s">
        <v>553</v>
      </c>
      <c r="B93" s="46" t="s">
        <v>418</v>
      </c>
      <c r="C93" s="47">
        <f t="shared" si="21"/>
        <v>2</v>
      </c>
      <c r="D93" s="47"/>
      <c r="E93" s="48">
        <f t="shared" si="26"/>
        <v>2</v>
      </c>
      <c r="F93" s="58" t="s">
        <v>239</v>
      </c>
      <c r="G93" s="58" t="s">
        <v>121</v>
      </c>
      <c r="H93" s="51">
        <f>52965470807.41/1000</f>
        <v>52965470.807410002</v>
      </c>
      <c r="I93" s="51">
        <f>5017082162.13/1000</f>
        <v>5017082.1621300001</v>
      </c>
      <c r="J93" s="51">
        <f>17336515179.58/1000</f>
        <v>17336515.179580003</v>
      </c>
      <c r="K93" s="51">
        <f>28182210447.33/1000</f>
        <v>28182210.447330002</v>
      </c>
      <c r="L93" s="51">
        <f>2429663018.37/1000</f>
        <v>2429663.0183699997</v>
      </c>
      <c r="M93" s="51">
        <f t="shared" si="23"/>
        <v>52965470.807410002</v>
      </c>
      <c r="N93" s="51">
        <f t="shared" si="22"/>
        <v>0</v>
      </c>
      <c r="O93" s="53" t="s">
        <v>121</v>
      </c>
      <c r="P93" s="51">
        <v>3000</v>
      </c>
      <c r="Q93" s="51" t="s">
        <v>111</v>
      </c>
      <c r="R93" s="51" t="s">
        <v>111</v>
      </c>
      <c r="S93" s="51">
        <f>(1131246900+1426411900+25000000)/1000</f>
        <v>2582658.7999999998</v>
      </c>
      <c r="T93" s="51">
        <v>216000</v>
      </c>
      <c r="U93" s="51" t="s">
        <v>111</v>
      </c>
      <c r="V93" s="51">
        <f t="shared" si="12"/>
        <v>2801658.8</v>
      </c>
      <c r="W93" s="51">
        <f t="shared" si="24"/>
        <v>55767129.607409999</v>
      </c>
      <c r="X93" s="51">
        <v>55767129.607410021</v>
      </c>
      <c r="Y93" s="51">
        <f t="shared" si="18"/>
        <v>0</v>
      </c>
      <c r="Z93" s="50" t="str">
        <f>'1.2'!F92</f>
        <v>253-КЗ</v>
      </c>
      <c r="AA93" s="58">
        <f>'1.1'!H92</f>
        <v>44915</v>
      </c>
      <c r="AB93" s="233" t="s">
        <v>293</v>
      </c>
      <c r="AC93" s="233" t="s">
        <v>111</v>
      </c>
      <c r="AD93" s="107" t="s">
        <v>111</v>
      </c>
      <c r="AE93" s="212" t="s">
        <v>111</v>
      </c>
      <c r="AF93" s="180"/>
      <c r="AG93" s="180"/>
      <c r="AH93" s="180"/>
      <c r="AI93" s="180"/>
      <c r="AJ93" s="180"/>
    </row>
    <row r="94" spans="1:37" ht="15" customHeight="1">
      <c r="A94" s="107" t="s">
        <v>76</v>
      </c>
      <c r="B94" s="46" t="s">
        <v>418</v>
      </c>
      <c r="C94" s="47">
        <f t="shared" si="21"/>
        <v>2</v>
      </c>
      <c r="D94" s="47"/>
      <c r="E94" s="48">
        <f t="shared" si="26"/>
        <v>2</v>
      </c>
      <c r="F94" s="58" t="s">
        <v>239</v>
      </c>
      <c r="G94" s="58" t="s">
        <v>121</v>
      </c>
      <c r="H94" s="51">
        <v>36182493.770000003</v>
      </c>
      <c r="I94" s="51">
        <v>5802728.8399999999</v>
      </c>
      <c r="J94" s="51">
        <v>6671181.5300000003</v>
      </c>
      <c r="K94" s="51">
        <v>23370620.440000001</v>
      </c>
      <c r="L94" s="51">
        <v>337962.96</v>
      </c>
      <c r="M94" s="51">
        <f t="shared" si="23"/>
        <v>36182493.770000003</v>
      </c>
      <c r="N94" s="51">
        <f t="shared" si="22"/>
        <v>0</v>
      </c>
      <c r="O94" s="53" t="s">
        <v>121</v>
      </c>
      <c r="P94" s="51">
        <v>2674.4</v>
      </c>
      <c r="Q94" s="51" t="s">
        <v>111</v>
      </c>
      <c r="R94" s="51" t="s">
        <v>111</v>
      </c>
      <c r="S94" s="51">
        <f>6100+2247425.4</f>
        <v>2253525.4</v>
      </c>
      <c r="T94" s="51" t="s">
        <v>111</v>
      </c>
      <c r="U94" s="51" t="s">
        <v>111</v>
      </c>
      <c r="V94" s="51">
        <f t="shared" si="12"/>
        <v>2256199.7999999998</v>
      </c>
      <c r="W94" s="51">
        <f t="shared" si="24"/>
        <v>38438693.57</v>
      </c>
      <c r="X94" s="51">
        <v>38438693.57</v>
      </c>
      <c r="Y94" s="51">
        <f t="shared" si="18"/>
        <v>0</v>
      </c>
      <c r="Z94" s="50">
        <f>'1.2'!F93</f>
        <v>334</v>
      </c>
      <c r="AA94" s="58">
        <f>'1.1'!H93</f>
        <v>44886</v>
      </c>
      <c r="AB94" s="233">
        <v>6</v>
      </c>
      <c r="AC94" s="233">
        <v>11</v>
      </c>
      <c r="AD94" s="107" t="s">
        <v>111</v>
      </c>
      <c r="AE94" s="212" t="s">
        <v>111</v>
      </c>
      <c r="AF94" s="180"/>
      <c r="AG94" s="180"/>
      <c r="AH94" s="180"/>
      <c r="AI94" s="180"/>
      <c r="AJ94" s="180"/>
    </row>
    <row r="95" spans="1:37" ht="15" customHeight="1">
      <c r="A95" s="107" t="s">
        <v>77</v>
      </c>
      <c r="B95" s="46" t="s">
        <v>419</v>
      </c>
      <c r="C95" s="47">
        <f t="shared" si="21"/>
        <v>1</v>
      </c>
      <c r="D95" s="47"/>
      <c r="E95" s="48">
        <f t="shared" si="26"/>
        <v>1</v>
      </c>
      <c r="F95" s="58" t="s">
        <v>232</v>
      </c>
      <c r="G95" s="58" t="s">
        <v>121</v>
      </c>
      <c r="H95" s="51">
        <v>35701050.200000003</v>
      </c>
      <c r="I95" s="51">
        <v>1945106.2</v>
      </c>
      <c r="J95" s="51">
        <v>15019304.300000001</v>
      </c>
      <c r="K95" s="51">
        <v>16506892.5</v>
      </c>
      <c r="L95" s="51">
        <v>2229747.2000000002</v>
      </c>
      <c r="M95" s="51">
        <f t="shared" si="23"/>
        <v>35701050.200000003</v>
      </c>
      <c r="N95" s="51">
        <f t="shared" si="22"/>
        <v>0</v>
      </c>
      <c r="O95" s="53" t="s">
        <v>122</v>
      </c>
      <c r="P95" s="51">
        <v>8213.1</v>
      </c>
      <c r="Q95" s="51" t="s">
        <v>111</v>
      </c>
      <c r="R95" s="51"/>
      <c r="S95" s="51" t="s">
        <v>111</v>
      </c>
      <c r="T95" s="51" t="s">
        <v>111</v>
      </c>
      <c r="U95" s="51" t="s">
        <v>111</v>
      </c>
      <c r="V95" s="51">
        <f t="shared" si="12"/>
        <v>8213.1</v>
      </c>
      <c r="W95" s="51">
        <f t="shared" si="24"/>
        <v>35709263.300000004</v>
      </c>
      <c r="X95" s="51">
        <v>37190733.100000001</v>
      </c>
      <c r="Y95" s="51">
        <f t="shared" si="18"/>
        <v>1481469.799999997</v>
      </c>
      <c r="Z95" s="50" t="str">
        <f>'1.2'!F94</f>
        <v>224-ОЗ</v>
      </c>
      <c r="AA95" s="58">
        <f>'1.1'!H94</f>
        <v>44908</v>
      </c>
      <c r="AB95" s="233">
        <v>11</v>
      </c>
      <c r="AC95" s="233" t="s">
        <v>111</v>
      </c>
      <c r="AD95" s="107" t="s">
        <v>602</v>
      </c>
      <c r="AE95" s="212" t="s">
        <v>111</v>
      </c>
      <c r="AF95" s="180"/>
      <c r="AG95" s="180"/>
      <c r="AH95" s="180"/>
      <c r="AI95" s="180"/>
      <c r="AJ95" s="180"/>
    </row>
    <row r="96" spans="1:37" s="30" customFormat="1" ht="15" customHeight="1">
      <c r="A96" s="107" t="s">
        <v>78</v>
      </c>
      <c r="B96" s="46" t="s">
        <v>419</v>
      </c>
      <c r="C96" s="47">
        <f t="shared" si="21"/>
        <v>1</v>
      </c>
      <c r="D96" s="47"/>
      <c r="E96" s="48">
        <f t="shared" si="26"/>
        <v>1</v>
      </c>
      <c r="F96" s="58" t="s">
        <v>232</v>
      </c>
      <c r="G96" s="58" t="s">
        <v>121</v>
      </c>
      <c r="H96" s="51" t="s">
        <v>111</v>
      </c>
      <c r="I96" s="51">
        <f>2400000+695000</f>
        <v>3095000</v>
      </c>
      <c r="J96" s="51">
        <f>1383383976/1000</f>
        <v>1383383.976</v>
      </c>
      <c r="K96" s="51">
        <f>5825311704.2/1000</f>
        <v>5825311.7041999996</v>
      </c>
      <c r="L96" s="51">
        <f>(152917700+5000000+10000000)/1000</f>
        <v>167917.7</v>
      </c>
      <c r="M96" s="51">
        <f t="shared" si="23"/>
        <v>10471613.380199999</v>
      </c>
      <c r="N96" s="51" t="s">
        <v>111</v>
      </c>
      <c r="O96" s="53" t="s">
        <v>122</v>
      </c>
      <c r="P96" s="51" t="s">
        <v>111</v>
      </c>
      <c r="Q96" s="51" t="s">
        <v>111</v>
      </c>
      <c r="R96" s="51" t="s">
        <v>111</v>
      </c>
      <c r="S96" s="51" t="s">
        <v>111</v>
      </c>
      <c r="T96" s="51" t="s">
        <v>111</v>
      </c>
      <c r="U96" s="51" t="s">
        <v>111</v>
      </c>
      <c r="V96" s="51">
        <f t="shared" si="12"/>
        <v>0</v>
      </c>
      <c r="W96" s="51">
        <f t="shared" si="24"/>
        <v>10471613.380199999</v>
      </c>
      <c r="X96" s="51">
        <v>10617391.8802</v>
      </c>
      <c r="Y96" s="51">
        <f t="shared" si="18"/>
        <v>145778.50000000186</v>
      </c>
      <c r="Z96" s="50" t="str">
        <f>'1.2'!F95</f>
        <v>2767-ОЗ</v>
      </c>
      <c r="AA96" s="58">
        <f>'1.1'!H95</f>
        <v>44897</v>
      </c>
      <c r="AB96" s="233" t="s">
        <v>586</v>
      </c>
      <c r="AC96" s="233" t="s">
        <v>111</v>
      </c>
      <c r="AD96" s="107" t="s">
        <v>609</v>
      </c>
      <c r="AE96" s="212" t="s">
        <v>111</v>
      </c>
      <c r="AF96" s="180"/>
      <c r="AG96" s="180"/>
      <c r="AH96" s="180"/>
      <c r="AI96" s="180"/>
      <c r="AJ96" s="180"/>
      <c r="AK96"/>
    </row>
    <row r="97" spans="1:42" s="30" customFormat="1" ht="15" customHeight="1">
      <c r="A97" s="107" t="s">
        <v>79</v>
      </c>
      <c r="B97" s="46" t="s">
        <v>418</v>
      </c>
      <c r="C97" s="47">
        <f t="shared" si="21"/>
        <v>2</v>
      </c>
      <c r="D97" s="47"/>
      <c r="E97" s="48">
        <f t="shared" si="26"/>
        <v>2</v>
      </c>
      <c r="F97" s="58" t="s">
        <v>239</v>
      </c>
      <c r="G97" s="58" t="s">
        <v>121</v>
      </c>
      <c r="H97" s="51">
        <v>51944615.100000001</v>
      </c>
      <c r="I97" s="51">
        <v>9962709.6999999993</v>
      </c>
      <c r="J97" s="51">
        <v>24500537.300000001</v>
      </c>
      <c r="K97" s="51">
        <v>16814804.300000001</v>
      </c>
      <c r="L97" s="51">
        <v>666563.80000000005</v>
      </c>
      <c r="M97" s="51">
        <f t="shared" si="23"/>
        <v>51944615.099999994</v>
      </c>
      <c r="N97" s="51">
        <f t="shared" si="22"/>
        <v>0</v>
      </c>
      <c r="O97" s="53" t="s">
        <v>121</v>
      </c>
      <c r="P97" s="51">
        <v>66809.2</v>
      </c>
      <c r="Q97" s="51" t="s">
        <v>111</v>
      </c>
      <c r="R97" s="51" t="s">
        <v>111</v>
      </c>
      <c r="S97" s="51">
        <v>2980822.8</v>
      </c>
      <c r="T97" s="51">
        <v>47893.9</v>
      </c>
      <c r="U97" s="51" t="s">
        <v>111</v>
      </c>
      <c r="V97" s="51">
        <f t="shared" si="12"/>
        <v>3095525.9</v>
      </c>
      <c r="W97" s="51">
        <f t="shared" si="24"/>
        <v>55040140.999999993</v>
      </c>
      <c r="X97" s="51">
        <v>55040141.000000022</v>
      </c>
      <c r="Y97" s="51">
        <f t="shared" si="18"/>
        <v>0</v>
      </c>
      <c r="Z97" s="50" t="str">
        <f>'1.2'!F96</f>
        <v>115-ЗО</v>
      </c>
      <c r="AA97" s="58">
        <f>'1.1'!H96</f>
        <v>44921</v>
      </c>
      <c r="AB97" s="233">
        <v>2</v>
      </c>
      <c r="AC97" s="233" t="s">
        <v>111</v>
      </c>
      <c r="AD97" s="107" t="s">
        <v>111</v>
      </c>
      <c r="AE97" s="212"/>
      <c r="AF97" s="180"/>
      <c r="AG97" s="180"/>
      <c r="AH97" s="180"/>
      <c r="AI97" s="180"/>
      <c r="AJ97" s="180"/>
      <c r="AK97"/>
    </row>
    <row r="98" spans="1:42" s="30" customFormat="1" ht="15" customHeight="1">
      <c r="A98" s="107" t="s">
        <v>80</v>
      </c>
      <c r="B98" s="46" t="s">
        <v>418</v>
      </c>
      <c r="C98" s="47">
        <f t="shared" si="21"/>
        <v>2</v>
      </c>
      <c r="D98" s="47"/>
      <c r="E98" s="48">
        <f t="shared" si="26"/>
        <v>2</v>
      </c>
      <c r="F98" s="58" t="s">
        <v>239</v>
      </c>
      <c r="G98" s="58" t="s">
        <v>121</v>
      </c>
      <c r="H98" s="51">
        <v>4419138.2</v>
      </c>
      <c r="I98" s="51">
        <v>925502.1</v>
      </c>
      <c r="J98" s="51">
        <v>1038960.6</v>
      </c>
      <c r="K98" s="51">
        <v>1864114.9</v>
      </c>
      <c r="L98" s="51">
        <v>590560.6</v>
      </c>
      <c r="M98" s="51">
        <f t="shared" si="23"/>
        <v>4419138.1999999993</v>
      </c>
      <c r="N98" s="51">
        <f t="shared" si="22"/>
        <v>0</v>
      </c>
      <c r="O98" s="53" t="s">
        <v>121</v>
      </c>
      <c r="P98" s="51">
        <v>260.10000000000002</v>
      </c>
      <c r="Q98" s="51" t="s">
        <v>111</v>
      </c>
      <c r="R98" s="51" t="s">
        <v>111</v>
      </c>
      <c r="S98" s="51">
        <v>271343.3</v>
      </c>
      <c r="T98" s="51">
        <v>29476</v>
      </c>
      <c r="U98" s="51" t="s">
        <v>111</v>
      </c>
      <c r="V98" s="51">
        <f t="shared" si="12"/>
        <v>301079.39999999997</v>
      </c>
      <c r="W98" s="51">
        <f>M98+V98</f>
        <v>4720217.5999999996</v>
      </c>
      <c r="X98" s="51">
        <v>4720217.6000000006</v>
      </c>
      <c r="Y98" s="51">
        <f t="shared" si="18"/>
        <v>0</v>
      </c>
      <c r="Z98" s="50" t="str">
        <f>'1.2'!F97</f>
        <v>181-ОЗ</v>
      </c>
      <c r="AA98" s="58">
        <f>'1.1'!H97</f>
        <v>44901</v>
      </c>
      <c r="AB98" s="233">
        <v>13</v>
      </c>
      <c r="AC98" s="233" t="s">
        <v>111</v>
      </c>
      <c r="AD98" s="107" t="s">
        <v>111</v>
      </c>
      <c r="AE98" s="212" t="s">
        <v>111</v>
      </c>
      <c r="AF98" s="180"/>
      <c r="AG98" s="180"/>
      <c r="AH98" s="180"/>
      <c r="AI98" s="180"/>
      <c r="AJ98" s="180"/>
      <c r="AK98"/>
    </row>
    <row r="99" spans="1:42" s="30" customFormat="1" ht="15" customHeight="1">
      <c r="A99" s="107" t="s">
        <v>81</v>
      </c>
      <c r="B99" s="46" t="s">
        <v>418</v>
      </c>
      <c r="C99" s="47">
        <f t="shared" si="21"/>
        <v>2</v>
      </c>
      <c r="D99" s="47"/>
      <c r="E99" s="48">
        <f t="shared" si="26"/>
        <v>2</v>
      </c>
      <c r="F99" s="58" t="s">
        <v>239</v>
      </c>
      <c r="G99" s="58" t="s">
        <v>121</v>
      </c>
      <c r="H99" s="51">
        <v>12893315.1</v>
      </c>
      <c r="I99" s="51">
        <v>3914149.2</v>
      </c>
      <c r="J99" s="51">
        <v>3179922.4</v>
      </c>
      <c r="K99" s="51">
        <v>5551835.5</v>
      </c>
      <c r="L99" s="51">
        <v>247408</v>
      </c>
      <c r="M99" s="51">
        <f t="shared" si="23"/>
        <v>12893315.1</v>
      </c>
      <c r="N99" s="51">
        <f t="shared" si="22"/>
        <v>0</v>
      </c>
      <c r="O99" s="53" t="s">
        <v>121</v>
      </c>
      <c r="P99" s="51">
        <v>233.3</v>
      </c>
      <c r="Q99" s="51" t="s">
        <v>111</v>
      </c>
      <c r="R99" s="51" t="s">
        <v>111</v>
      </c>
      <c r="S99" s="51">
        <v>49342.1</v>
      </c>
      <c r="T99" s="51">
        <f>1013939.9</f>
        <v>1013939.9</v>
      </c>
      <c r="U99" s="51" t="s">
        <v>111</v>
      </c>
      <c r="V99" s="51">
        <f t="shared" si="12"/>
        <v>1063515.3</v>
      </c>
      <c r="W99" s="51">
        <f t="shared" si="24"/>
        <v>13956830.4</v>
      </c>
      <c r="X99" s="51">
        <v>13956830.399999999</v>
      </c>
      <c r="Y99" s="51">
        <f t="shared" si="18"/>
        <v>0</v>
      </c>
      <c r="Z99" s="50" t="str">
        <f>'1.2'!F98</f>
        <v>76-ОЗ</v>
      </c>
      <c r="AA99" s="58">
        <f>'1.1'!H98</f>
        <v>44531</v>
      </c>
      <c r="AB99" s="233" t="s">
        <v>220</v>
      </c>
      <c r="AC99" s="233" t="s">
        <v>159</v>
      </c>
      <c r="AD99" s="107" t="s">
        <v>111</v>
      </c>
      <c r="AE99" s="212" t="s">
        <v>111</v>
      </c>
      <c r="AF99" s="180"/>
      <c r="AG99" s="180"/>
      <c r="AH99" s="180"/>
      <c r="AI99" s="180"/>
      <c r="AJ99" s="180"/>
      <c r="AK99"/>
    </row>
    <row r="100" spans="1:42" s="30" customFormat="1" ht="15" customHeight="1">
      <c r="A100" s="190" t="s">
        <v>237</v>
      </c>
      <c r="B100" s="191"/>
      <c r="C100" s="192"/>
      <c r="D100" s="192"/>
      <c r="E100" s="193"/>
      <c r="F100" s="194"/>
      <c r="G100" s="194"/>
      <c r="H100" s="195"/>
      <c r="I100" s="195"/>
      <c r="J100" s="195"/>
      <c r="K100" s="195"/>
      <c r="L100" s="195"/>
      <c r="M100" s="195"/>
      <c r="N100" s="195"/>
      <c r="O100" s="196"/>
      <c r="P100" s="195"/>
      <c r="Q100" s="195"/>
      <c r="R100" s="195"/>
      <c r="S100" s="195"/>
      <c r="T100" s="195"/>
      <c r="U100" s="195"/>
      <c r="V100" s="195"/>
      <c r="W100" s="195"/>
      <c r="X100" s="195"/>
      <c r="Y100" s="195"/>
      <c r="Z100" s="243"/>
      <c r="AA100" s="194"/>
      <c r="AB100" s="235"/>
      <c r="AC100" s="235"/>
      <c r="AD100" s="190"/>
      <c r="AE100" s="212"/>
      <c r="AF100" s="180"/>
      <c r="AG100" s="180"/>
      <c r="AH100" s="180"/>
      <c r="AI100" s="180"/>
      <c r="AJ100" s="180"/>
      <c r="AK100"/>
    </row>
    <row r="101" spans="1:42" ht="15" customHeight="1">
      <c r="A101" s="190" t="s">
        <v>630</v>
      </c>
      <c r="M101" s="99"/>
      <c r="N101" s="99"/>
      <c r="O101" s="40"/>
      <c r="V101" s="40"/>
      <c r="AD101" s="93"/>
      <c r="AE101" s="214"/>
      <c r="AF101" s="93"/>
      <c r="AG101" s="93"/>
      <c r="AH101" s="93"/>
      <c r="AI101" s="93"/>
      <c r="AJ101" s="93"/>
    </row>
    <row r="102" spans="1:42" ht="15" customHeight="1">
      <c r="A102" s="190" t="s">
        <v>631</v>
      </c>
      <c r="O102" s="40"/>
      <c r="AD102" s="93"/>
      <c r="AE102" s="214"/>
      <c r="AF102" s="93"/>
      <c r="AG102" s="93"/>
      <c r="AH102" s="93"/>
      <c r="AI102" s="93"/>
      <c r="AJ102" s="93"/>
    </row>
    <row r="103" spans="1:42" ht="15" customHeight="1">
      <c r="K103" s="199"/>
      <c r="W103" s="91"/>
      <c r="X103" s="91"/>
      <c r="Y103" s="100"/>
      <c r="Z103" s="241"/>
      <c r="AA103" s="241"/>
      <c r="AB103" s="236"/>
      <c r="AD103" s="93"/>
      <c r="AE103" s="214"/>
      <c r="AF103" s="93"/>
      <c r="AG103" s="93"/>
      <c r="AH103" s="93"/>
      <c r="AI103" s="93"/>
      <c r="AJ103" s="93"/>
    </row>
    <row r="104" spans="1:42" ht="15" customHeight="1">
      <c r="A104" s="4"/>
      <c r="B104" s="4"/>
      <c r="C104" s="4"/>
      <c r="D104" s="4"/>
      <c r="E104" s="6"/>
      <c r="H104" s="92"/>
      <c r="I104" s="92"/>
      <c r="J104" s="92"/>
      <c r="K104" s="199"/>
      <c r="L104" s="92"/>
      <c r="M104" s="187"/>
      <c r="N104" s="187"/>
      <c r="O104" s="95"/>
      <c r="P104" s="91"/>
      <c r="Q104" s="91"/>
      <c r="R104" s="91"/>
      <c r="S104" s="91"/>
      <c r="T104" s="91"/>
      <c r="U104" s="91"/>
      <c r="V104" s="173"/>
      <c r="W104" s="91"/>
      <c r="X104" s="91"/>
      <c r="Y104" s="100"/>
      <c r="Z104" s="241"/>
      <c r="AA104" s="241"/>
      <c r="AB104" s="236"/>
      <c r="AD104" s="93"/>
      <c r="AE104" s="214"/>
      <c r="AF104" s="93"/>
      <c r="AG104" s="93"/>
      <c r="AH104" s="93"/>
      <c r="AI104" s="93"/>
      <c r="AJ104" s="93"/>
    </row>
    <row r="105" spans="1:42" ht="15" customHeight="1">
      <c r="H105" s="91"/>
      <c r="I105" s="91"/>
      <c r="J105" s="91"/>
      <c r="K105" s="199"/>
      <c r="L105" s="91"/>
      <c r="M105" s="187"/>
      <c r="N105" s="187"/>
      <c r="O105" s="95"/>
      <c r="P105" s="91"/>
      <c r="Q105" s="91"/>
      <c r="R105" s="91"/>
      <c r="S105" s="91"/>
      <c r="T105" s="91"/>
      <c r="U105" s="91"/>
      <c r="V105" s="173"/>
      <c r="W105" s="91"/>
      <c r="X105" s="92"/>
      <c r="Y105" s="100"/>
      <c r="Z105" s="241"/>
      <c r="AA105" s="241"/>
      <c r="AB105" s="236"/>
      <c r="AD105" s="93"/>
      <c r="AE105" s="214"/>
      <c r="AF105" s="93"/>
      <c r="AG105" s="93"/>
      <c r="AH105" s="93"/>
      <c r="AI105" s="93"/>
      <c r="AJ105" s="93"/>
    </row>
    <row r="106" spans="1:42" ht="15" customHeight="1">
      <c r="L106" s="4"/>
      <c r="W106" s="91"/>
      <c r="X106" s="92"/>
      <c r="Y106" s="100"/>
      <c r="Z106" s="241"/>
      <c r="AA106" s="241"/>
      <c r="AB106" s="236"/>
      <c r="AD106" s="93"/>
      <c r="AE106" s="214"/>
      <c r="AF106" s="93"/>
      <c r="AG106" s="93"/>
      <c r="AH106" s="93"/>
      <c r="AI106" s="93"/>
      <c r="AJ106" s="93"/>
    </row>
    <row r="107" spans="1:42" ht="18">
      <c r="W107" s="91"/>
      <c r="X107" s="92"/>
      <c r="Y107" s="100"/>
      <c r="Z107" s="241"/>
      <c r="AA107" s="241"/>
      <c r="AB107" s="236"/>
      <c r="AD107" s="93"/>
      <c r="AE107" s="214"/>
      <c r="AF107" s="93"/>
      <c r="AG107" s="93"/>
      <c r="AH107" s="93"/>
      <c r="AI107" s="93"/>
      <c r="AJ107" s="93"/>
    </row>
    <row r="108" spans="1:42" s="2" customFormat="1" ht="18">
      <c r="A108" s="4"/>
      <c r="B108" s="4"/>
      <c r="C108" s="4"/>
      <c r="D108" s="4"/>
      <c r="E108" s="6"/>
      <c r="F108" s="40"/>
      <c r="G108" s="40"/>
      <c r="H108" s="40"/>
      <c r="I108" s="40"/>
      <c r="J108" s="40"/>
      <c r="K108" s="40"/>
      <c r="L108" s="40"/>
      <c r="M108" s="186"/>
      <c r="N108" s="186"/>
      <c r="O108" s="90"/>
      <c r="P108" s="40"/>
      <c r="Q108" s="40"/>
      <c r="R108" s="40"/>
      <c r="S108" s="40"/>
      <c r="T108" s="40"/>
      <c r="U108" s="40"/>
      <c r="V108" s="172"/>
      <c r="W108" s="91"/>
      <c r="X108" s="92"/>
      <c r="Y108" s="100"/>
      <c r="Z108" s="241"/>
      <c r="AA108" s="241"/>
      <c r="AB108" s="237"/>
      <c r="AC108" s="238"/>
      <c r="AD108" s="93"/>
      <c r="AE108" s="214"/>
      <c r="AF108" s="93"/>
      <c r="AG108" s="93"/>
      <c r="AH108" s="93"/>
      <c r="AI108" s="93"/>
      <c r="AJ108" s="93"/>
    </row>
    <row r="109" spans="1:42" ht="18">
      <c r="W109" s="91"/>
      <c r="X109" s="92"/>
      <c r="Y109" s="100"/>
      <c r="Z109" s="241"/>
      <c r="AA109" s="241"/>
      <c r="AB109" s="236"/>
      <c r="AD109" s="93"/>
      <c r="AE109" s="214"/>
      <c r="AF109" s="93"/>
      <c r="AG109" s="93"/>
      <c r="AH109" s="93"/>
      <c r="AI109" s="93"/>
      <c r="AJ109" s="93"/>
      <c r="AP109" s="28"/>
    </row>
    <row r="110" spans="1:42" s="2" customFormat="1" ht="18">
      <c r="A110" s="4"/>
      <c r="B110" s="4"/>
      <c r="C110" s="4"/>
      <c r="D110" s="4"/>
      <c r="E110" s="6"/>
      <c r="F110" s="40"/>
      <c r="G110" s="40"/>
      <c r="H110" s="40"/>
      <c r="I110" s="40"/>
      <c r="J110" s="40"/>
      <c r="K110" s="40"/>
      <c r="L110" s="40"/>
      <c r="M110" s="186"/>
      <c r="N110" s="186"/>
      <c r="O110" s="90"/>
      <c r="P110" s="40"/>
      <c r="Q110" s="40"/>
      <c r="R110" s="40"/>
      <c r="S110" s="40"/>
      <c r="T110" s="40"/>
      <c r="U110" s="40"/>
      <c r="V110" s="172"/>
      <c r="W110" s="91"/>
      <c r="X110" s="92"/>
      <c r="Y110" s="100"/>
      <c r="Z110" s="241"/>
      <c r="AA110" s="241"/>
      <c r="AB110" s="237"/>
      <c r="AC110" s="238"/>
      <c r="AD110" s="93"/>
      <c r="AE110" s="214"/>
      <c r="AF110" s="93"/>
      <c r="AG110" s="93"/>
      <c r="AH110" s="93"/>
      <c r="AI110" s="93"/>
      <c r="AJ110" s="93"/>
      <c r="AP110" s="28">
        <f>SUM(AE110:AO110)</f>
        <v>0</v>
      </c>
    </row>
    <row r="111" spans="1:42" ht="18">
      <c r="W111" s="91"/>
      <c r="X111" s="92"/>
      <c r="Y111" s="100"/>
      <c r="Z111" s="241"/>
      <c r="AA111" s="241"/>
      <c r="AB111" s="236"/>
      <c r="AD111" s="93"/>
      <c r="AE111" s="214"/>
      <c r="AF111" s="93"/>
      <c r="AG111" s="93"/>
      <c r="AH111" s="93"/>
      <c r="AI111" s="93"/>
      <c r="AJ111" s="93"/>
      <c r="AP111" s="28"/>
    </row>
    <row r="112" spans="1:42" ht="18">
      <c r="W112" s="91"/>
      <c r="X112" s="92"/>
      <c r="Y112" s="100"/>
      <c r="Z112" s="241"/>
      <c r="AA112" s="241"/>
      <c r="AB112" s="236"/>
      <c r="AD112" s="93"/>
      <c r="AE112" s="214"/>
      <c r="AF112" s="93"/>
      <c r="AG112" s="93"/>
      <c r="AH112" s="93"/>
      <c r="AI112" s="93"/>
      <c r="AJ112" s="93"/>
      <c r="AP112" s="28">
        <f>SUM(AE112:AO112)</f>
        <v>0</v>
      </c>
    </row>
    <row r="113" spans="1:42" ht="18">
      <c r="W113" s="91"/>
      <c r="X113" s="92"/>
      <c r="Y113" s="100"/>
      <c r="Z113" s="241"/>
      <c r="AA113" s="241"/>
      <c r="AB113" s="236"/>
      <c r="AD113" s="93"/>
      <c r="AE113" s="214"/>
      <c r="AF113" s="93"/>
      <c r="AG113" s="93"/>
      <c r="AH113" s="93"/>
      <c r="AI113" s="93"/>
      <c r="AJ113" s="93"/>
      <c r="AP113" s="28"/>
    </row>
    <row r="114" spans="1:42" s="2" customFormat="1" ht="18">
      <c r="A114" s="4"/>
      <c r="B114" s="4"/>
      <c r="C114" s="4"/>
      <c r="D114" s="4"/>
      <c r="E114" s="6"/>
      <c r="F114" s="40"/>
      <c r="G114" s="40"/>
      <c r="H114" s="40"/>
      <c r="I114" s="40"/>
      <c r="J114" s="40"/>
      <c r="K114" s="40"/>
      <c r="L114" s="40"/>
      <c r="M114" s="186"/>
      <c r="N114" s="186"/>
      <c r="O114" s="90"/>
      <c r="P114" s="40"/>
      <c r="Q114" s="40"/>
      <c r="R114" s="40"/>
      <c r="S114" s="40"/>
      <c r="T114" s="40"/>
      <c r="U114" s="40"/>
      <c r="V114" s="172"/>
      <c r="W114" s="40"/>
      <c r="X114" s="40"/>
      <c r="Y114" s="99"/>
      <c r="Z114" s="240"/>
      <c r="AA114" s="242"/>
      <c r="AB114" s="238"/>
      <c r="AC114" s="238"/>
      <c r="AD114" s="93"/>
      <c r="AE114" s="214"/>
      <c r="AF114" s="93"/>
      <c r="AG114" s="93"/>
      <c r="AH114" s="93"/>
      <c r="AI114" s="93"/>
      <c r="AJ114" s="93"/>
      <c r="AP114" s="28"/>
    </row>
    <row r="115" spans="1:42" ht="18">
      <c r="AD115" s="93"/>
      <c r="AE115" s="214"/>
      <c r="AF115" s="93"/>
      <c r="AG115" s="93"/>
      <c r="AH115" s="93"/>
      <c r="AI115" s="93"/>
      <c r="AJ115" s="93"/>
    </row>
    <row r="116" spans="1:42" ht="18">
      <c r="AD116" s="93"/>
      <c r="AE116" s="214"/>
      <c r="AF116" s="93"/>
      <c r="AG116" s="93"/>
      <c r="AH116" s="93"/>
      <c r="AI116" s="93"/>
      <c r="AJ116" s="93"/>
    </row>
    <row r="117" spans="1:42" s="2" customFormat="1" ht="18">
      <c r="A117" s="4"/>
      <c r="B117" s="4"/>
      <c r="C117" s="4"/>
      <c r="D117" s="4"/>
      <c r="E117" s="6"/>
      <c r="F117" s="40"/>
      <c r="G117" s="40"/>
      <c r="H117" s="40"/>
      <c r="I117" s="40"/>
      <c r="J117" s="40"/>
      <c r="K117" s="40"/>
      <c r="L117" s="40"/>
      <c r="M117" s="186"/>
      <c r="N117" s="186"/>
      <c r="O117" s="90"/>
      <c r="P117" s="40"/>
      <c r="Q117" s="40"/>
      <c r="R117" s="40"/>
      <c r="S117" s="40"/>
      <c r="T117" s="40"/>
      <c r="U117" s="40"/>
      <c r="V117" s="172"/>
      <c r="W117" s="40"/>
      <c r="X117" s="40"/>
      <c r="Y117" s="99"/>
      <c r="Z117" s="240"/>
      <c r="AA117" s="242"/>
      <c r="AB117" s="238"/>
      <c r="AC117" s="238"/>
      <c r="AD117" s="93"/>
      <c r="AE117" s="214"/>
      <c r="AF117" s="93"/>
      <c r="AG117" s="93"/>
      <c r="AH117" s="93"/>
      <c r="AI117" s="93"/>
      <c r="AJ117" s="93"/>
    </row>
    <row r="118" spans="1:42" ht="18">
      <c r="AD118" s="93"/>
      <c r="AE118" s="214"/>
      <c r="AF118" s="93"/>
      <c r="AG118" s="93"/>
      <c r="AH118" s="93"/>
      <c r="AI118" s="93"/>
      <c r="AJ118" s="93"/>
    </row>
    <row r="119" spans="1:42" ht="18">
      <c r="AD119" s="93"/>
      <c r="AE119" s="214"/>
      <c r="AF119" s="93"/>
      <c r="AG119" s="93"/>
      <c r="AH119" s="93"/>
      <c r="AI119" s="93"/>
      <c r="AJ119" s="93"/>
    </row>
    <row r="120" spans="1:42" ht="18">
      <c r="AD120" s="93"/>
      <c r="AE120" s="214"/>
      <c r="AF120" s="93"/>
      <c r="AG120" s="93"/>
      <c r="AH120" s="93"/>
      <c r="AI120" s="93"/>
      <c r="AJ120" s="93"/>
    </row>
    <row r="121" spans="1:42" s="2" customFormat="1" ht="18">
      <c r="A121" s="4"/>
      <c r="B121" s="4"/>
      <c r="C121" s="4"/>
      <c r="D121" s="4"/>
      <c r="E121" s="6"/>
      <c r="F121" s="40"/>
      <c r="G121" s="40"/>
      <c r="H121" s="40"/>
      <c r="I121" s="40"/>
      <c r="J121" s="40"/>
      <c r="K121" s="40"/>
      <c r="L121" s="40"/>
      <c r="M121" s="186"/>
      <c r="N121" s="186"/>
      <c r="O121" s="90"/>
      <c r="P121" s="40"/>
      <c r="Q121" s="40"/>
      <c r="R121" s="40"/>
      <c r="S121" s="40"/>
      <c r="T121" s="40"/>
      <c r="U121" s="40"/>
      <c r="V121" s="172"/>
      <c r="W121" s="40"/>
      <c r="X121" s="40"/>
      <c r="Y121" s="99"/>
      <c r="Z121" s="240"/>
      <c r="AA121" s="242"/>
      <c r="AB121" s="238"/>
      <c r="AC121" s="238"/>
      <c r="AD121" s="93"/>
      <c r="AE121" s="214"/>
      <c r="AF121" s="93"/>
      <c r="AG121" s="93"/>
      <c r="AH121" s="93"/>
      <c r="AI121" s="93"/>
      <c r="AJ121" s="93"/>
    </row>
    <row r="122" spans="1:42" ht="18">
      <c r="AD122" s="93"/>
      <c r="AE122" s="214"/>
      <c r="AF122" s="93"/>
      <c r="AG122" s="93"/>
      <c r="AH122" s="93"/>
      <c r="AI122" s="93"/>
      <c r="AJ122" s="93"/>
    </row>
    <row r="123" spans="1:42" ht="18">
      <c r="AD123" s="93"/>
      <c r="AE123" s="214"/>
      <c r="AF123" s="93"/>
      <c r="AG123" s="93"/>
      <c r="AH123" s="93"/>
      <c r="AI123" s="93"/>
      <c r="AJ123" s="93"/>
    </row>
    <row r="124" spans="1:42" ht="18">
      <c r="AD124" s="93"/>
      <c r="AE124" s="214"/>
      <c r="AF124" s="93"/>
      <c r="AG124" s="93"/>
      <c r="AH124" s="93"/>
      <c r="AI124" s="93"/>
      <c r="AJ124" s="93"/>
    </row>
    <row r="125" spans="1:42" ht="18">
      <c r="AD125" s="93"/>
      <c r="AE125" s="214"/>
      <c r="AF125" s="93"/>
      <c r="AG125" s="93"/>
      <c r="AH125" s="93"/>
      <c r="AI125" s="93"/>
      <c r="AJ125" s="93"/>
    </row>
    <row r="126" spans="1:42" ht="18">
      <c r="AD126" s="93"/>
      <c r="AE126" s="214"/>
      <c r="AF126" s="93"/>
      <c r="AG126" s="93"/>
      <c r="AH126" s="93"/>
      <c r="AI126" s="93"/>
      <c r="AJ126" s="93"/>
    </row>
    <row r="127" spans="1:42" ht="18">
      <c r="AD127" s="93"/>
      <c r="AE127" s="214"/>
      <c r="AF127" s="93"/>
      <c r="AG127" s="93"/>
      <c r="AH127" s="93"/>
      <c r="AI127" s="93"/>
      <c r="AJ127" s="93"/>
    </row>
    <row r="128" spans="1:42" ht="18">
      <c r="AD128" s="93"/>
      <c r="AE128" s="214"/>
      <c r="AF128" s="93"/>
      <c r="AG128" s="93"/>
      <c r="AH128" s="93"/>
      <c r="AI128" s="93"/>
      <c r="AJ128" s="93"/>
    </row>
    <row r="129" spans="30:36" ht="18">
      <c r="AD129" s="93"/>
      <c r="AE129" s="214"/>
      <c r="AF129" s="93"/>
      <c r="AG129" s="93"/>
      <c r="AH129" s="93"/>
      <c r="AI129" s="93"/>
      <c r="AJ129" s="93"/>
    </row>
    <row r="130" spans="30:36" ht="18">
      <c r="AD130" s="93"/>
      <c r="AE130" s="214"/>
      <c r="AF130" s="93"/>
      <c r="AG130" s="93"/>
      <c r="AH130" s="93"/>
      <c r="AI130" s="93"/>
      <c r="AJ130" s="93"/>
    </row>
    <row r="131" spans="30:36" ht="18">
      <c r="AD131" s="93"/>
      <c r="AE131" s="214"/>
      <c r="AF131" s="93"/>
      <c r="AG131" s="93"/>
      <c r="AH131" s="93"/>
      <c r="AI131" s="93"/>
      <c r="AJ131" s="93"/>
    </row>
    <row r="132" spans="30:36" ht="18">
      <c r="AD132" s="93"/>
      <c r="AE132" s="214"/>
      <c r="AF132" s="93"/>
      <c r="AG132" s="93"/>
      <c r="AH132" s="93"/>
      <c r="AI132" s="93"/>
      <c r="AJ132" s="93"/>
    </row>
    <row r="133" spans="30:36" ht="18">
      <c r="AD133" s="93"/>
      <c r="AE133" s="214"/>
      <c r="AF133" s="93"/>
      <c r="AG133" s="93"/>
      <c r="AH133" s="93"/>
      <c r="AI133" s="93"/>
      <c r="AJ133" s="93"/>
    </row>
    <row r="134" spans="30:36" ht="18">
      <c r="AD134" s="93"/>
      <c r="AE134" s="214"/>
      <c r="AF134" s="93"/>
      <c r="AG134" s="93"/>
      <c r="AH134" s="93"/>
      <c r="AI134" s="93"/>
      <c r="AJ134" s="93"/>
    </row>
    <row r="135" spans="30:36" ht="18">
      <c r="AD135" s="93"/>
      <c r="AE135" s="214"/>
      <c r="AF135" s="93"/>
      <c r="AG135" s="93"/>
      <c r="AH135" s="93"/>
      <c r="AI135" s="93"/>
      <c r="AJ135" s="93"/>
    </row>
    <row r="136" spans="30:36" ht="18">
      <c r="AD136" s="93"/>
      <c r="AE136" s="214"/>
      <c r="AF136" s="93"/>
      <c r="AG136" s="93"/>
      <c r="AH136" s="93"/>
      <c r="AI136" s="93"/>
      <c r="AJ136" s="93"/>
    </row>
    <row r="137" spans="30:36" ht="18">
      <c r="AD137" s="93"/>
      <c r="AE137" s="214"/>
      <c r="AF137" s="93"/>
      <c r="AG137" s="93"/>
      <c r="AH137" s="93"/>
      <c r="AI137" s="93"/>
      <c r="AJ137" s="93"/>
    </row>
    <row r="138" spans="30:36" ht="18">
      <c r="AD138" s="93"/>
      <c r="AE138" s="214"/>
      <c r="AF138" s="93"/>
      <c r="AG138" s="93"/>
      <c r="AH138" s="93"/>
      <c r="AI138" s="93"/>
      <c r="AJ138" s="93"/>
    </row>
    <row r="139" spans="30:36" ht="18">
      <c r="AD139" s="93"/>
      <c r="AE139" s="214"/>
      <c r="AF139" s="93"/>
      <c r="AG139" s="93"/>
      <c r="AH139" s="93"/>
      <c r="AI139" s="93"/>
      <c r="AJ139" s="93"/>
    </row>
    <row r="140" spans="30:36" ht="18">
      <c r="AD140" s="93"/>
      <c r="AE140" s="214"/>
      <c r="AF140" s="93"/>
      <c r="AG140" s="93"/>
      <c r="AH140" s="93"/>
      <c r="AI140" s="93"/>
      <c r="AJ140" s="93"/>
    </row>
    <row r="141" spans="30:36" ht="18">
      <c r="AD141" s="93"/>
      <c r="AE141" s="214"/>
      <c r="AF141" s="93"/>
      <c r="AG141" s="93"/>
      <c r="AH141" s="93"/>
      <c r="AI141" s="93"/>
      <c r="AJ141" s="93"/>
    </row>
    <row r="142" spans="30:36" ht="18">
      <c r="AD142" s="93"/>
      <c r="AE142" s="214"/>
      <c r="AF142" s="93"/>
      <c r="AG142" s="93"/>
      <c r="AH142" s="93"/>
      <c r="AI142" s="93"/>
      <c r="AJ142" s="93"/>
    </row>
    <row r="143" spans="30:36" ht="18">
      <c r="AD143" s="93"/>
      <c r="AE143" s="214"/>
      <c r="AF143" s="93"/>
      <c r="AG143" s="93"/>
      <c r="AH143" s="93"/>
      <c r="AI143" s="93"/>
      <c r="AJ143" s="93"/>
    </row>
    <row r="144" spans="30:36" ht="18">
      <c r="AD144" s="93"/>
      <c r="AE144" s="214"/>
      <c r="AF144" s="93"/>
      <c r="AG144" s="93"/>
      <c r="AH144" s="93"/>
      <c r="AI144" s="93"/>
      <c r="AJ144" s="93"/>
    </row>
    <row r="145" spans="30:36" ht="18">
      <c r="AD145" s="93"/>
      <c r="AE145" s="214"/>
      <c r="AF145" s="93"/>
      <c r="AG145" s="93"/>
      <c r="AH145" s="93"/>
      <c r="AI145" s="93"/>
      <c r="AJ145" s="93"/>
    </row>
    <row r="146" spans="30:36" ht="18">
      <c r="AD146" s="93"/>
      <c r="AE146" s="214"/>
      <c r="AF146" s="93"/>
      <c r="AG146" s="93"/>
      <c r="AH146" s="93"/>
      <c r="AI146" s="93"/>
      <c r="AJ146" s="93"/>
    </row>
    <row r="147" spans="30:36" ht="18">
      <c r="AD147" s="93"/>
      <c r="AE147" s="214"/>
      <c r="AF147" s="93"/>
      <c r="AG147" s="93"/>
      <c r="AH147" s="93"/>
      <c r="AI147" s="93"/>
      <c r="AJ147" s="93"/>
    </row>
    <row r="148" spans="30:36" ht="18">
      <c r="AD148" s="93"/>
      <c r="AE148" s="214"/>
      <c r="AF148" s="93"/>
      <c r="AG148" s="93"/>
      <c r="AH148" s="93"/>
      <c r="AI148" s="93"/>
      <c r="AJ148" s="93"/>
    </row>
    <row r="149" spans="30:36" ht="18">
      <c r="AD149" s="93"/>
      <c r="AE149" s="214"/>
      <c r="AF149" s="93"/>
      <c r="AG149" s="93"/>
      <c r="AH149" s="93"/>
      <c r="AI149" s="93"/>
      <c r="AJ149" s="93"/>
    </row>
    <row r="150" spans="30:36" ht="18">
      <c r="AD150" s="93"/>
      <c r="AE150" s="214"/>
      <c r="AF150" s="93"/>
      <c r="AG150" s="93"/>
      <c r="AH150" s="93"/>
      <c r="AI150" s="93"/>
      <c r="AJ150" s="93"/>
    </row>
    <row r="151" spans="30:36" ht="18">
      <c r="AD151" s="93"/>
      <c r="AE151" s="214"/>
      <c r="AF151" s="93"/>
      <c r="AG151" s="93"/>
      <c r="AH151" s="93"/>
      <c r="AI151" s="93"/>
      <c r="AJ151" s="93"/>
    </row>
    <row r="152" spans="30:36" ht="18">
      <c r="AD152" s="93"/>
      <c r="AE152" s="214"/>
      <c r="AF152" s="93"/>
      <c r="AG152" s="93"/>
      <c r="AH152" s="93"/>
      <c r="AI152" s="93"/>
      <c r="AJ152" s="93"/>
    </row>
    <row r="153" spans="30:36" ht="18">
      <c r="AD153" s="93"/>
      <c r="AE153" s="214"/>
      <c r="AF153" s="93"/>
      <c r="AG153" s="93"/>
      <c r="AH153" s="93"/>
      <c r="AI153" s="93"/>
      <c r="AJ153" s="93"/>
    </row>
    <row r="154" spans="30:36" ht="18">
      <c r="AD154" s="93"/>
      <c r="AE154" s="214"/>
      <c r="AF154" s="93"/>
      <c r="AG154" s="93"/>
      <c r="AH154" s="93"/>
      <c r="AI154" s="93"/>
      <c r="AJ154" s="93"/>
    </row>
    <row r="155" spans="30:36" ht="18">
      <c r="AD155" s="93"/>
      <c r="AE155" s="214"/>
      <c r="AF155" s="93"/>
      <c r="AG155" s="93"/>
      <c r="AH155" s="93"/>
      <c r="AI155" s="93"/>
      <c r="AJ155" s="93"/>
    </row>
    <row r="156" spans="30:36" ht="18">
      <c r="AD156" s="93"/>
      <c r="AE156" s="214"/>
      <c r="AF156" s="93"/>
      <c r="AG156" s="93"/>
      <c r="AH156" s="93"/>
      <c r="AI156" s="93"/>
      <c r="AJ156" s="93"/>
    </row>
    <row r="157" spans="30:36" ht="18">
      <c r="AD157" s="93"/>
      <c r="AE157" s="214"/>
      <c r="AF157" s="93"/>
      <c r="AG157" s="93"/>
      <c r="AH157" s="93"/>
      <c r="AI157" s="93"/>
      <c r="AJ157" s="93"/>
    </row>
    <row r="158" spans="30:36" ht="18">
      <c r="AD158" s="93"/>
      <c r="AE158" s="214"/>
      <c r="AF158" s="93"/>
      <c r="AG158" s="93"/>
      <c r="AH158" s="93"/>
      <c r="AI158" s="93"/>
      <c r="AJ158" s="93"/>
    </row>
    <row r="159" spans="30:36" ht="18">
      <c r="AD159" s="93"/>
      <c r="AE159" s="214"/>
      <c r="AF159" s="93"/>
      <c r="AG159" s="93"/>
      <c r="AH159" s="93"/>
      <c r="AI159" s="93"/>
      <c r="AJ159" s="93"/>
    </row>
    <row r="160" spans="30:36" ht="18">
      <c r="AD160" s="93"/>
      <c r="AE160" s="214"/>
      <c r="AF160" s="93"/>
      <c r="AG160" s="93"/>
      <c r="AH160" s="93"/>
      <c r="AI160" s="93"/>
      <c r="AJ160" s="93"/>
    </row>
    <row r="161" spans="30:36" ht="18">
      <c r="AD161" s="93"/>
      <c r="AE161" s="214"/>
      <c r="AF161" s="93"/>
      <c r="AG161" s="93"/>
      <c r="AH161" s="93"/>
      <c r="AI161" s="93"/>
      <c r="AJ161" s="93"/>
    </row>
    <row r="162" spans="30:36" ht="18">
      <c r="AD162" s="93"/>
      <c r="AE162" s="214"/>
      <c r="AF162" s="93"/>
      <c r="AG162" s="93"/>
      <c r="AH162" s="93"/>
      <c r="AI162" s="93"/>
      <c r="AJ162" s="93"/>
    </row>
    <row r="163" spans="30:36" ht="18">
      <c r="AD163" s="93"/>
      <c r="AE163" s="214"/>
      <c r="AF163" s="93"/>
      <c r="AG163" s="93"/>
      <c r="AH163" s="93"/>
      <c r="AI163" s="93"/>
      <c r="AJ163" s="93"/>
    </row>
    <row r="164" spans="30:36" ht="18">
      <c r="AD164" s="93"/>
      <c r="AE164" s="214"/>
      <c r="AF164" s="93"/>
      <c r="AG164" s="93"/>
      <c r="AH164" s="93"/>
      <c r="AI164" s="93"/>
      <c r="AJ164" s="93"/>
    </row>
    <row r="165" spans="30:36" ht="18">
      <c r="AD165" s="93"/>
      <c r="AE165" s="214"/>
      <c r="AF165" s="93"/>
      <c r="AG165" s="93"/>
      <c r="AH165" s="93"/>
      <c r="AI165" s="93"/>
      <c r="AJ165" s="93"/>
    </row>
    <row r="166" spans="30:36" ht="18">
      <c r="AD166" s="93"/>
      <c r="AE166" s="214"/>
      <c r="AF166" s="93"/>
      <c r="AG166" s="93"/>
      <c r="AH166" s="93"/>
      <c r="AI166" s="93"/>
      <c r="AJ166" s="93"/>
    </row>
    <row r="167" spans="30:36" ht="18">
      <c r="AD167" s="93"/>
      <c r="AE167" s="214"/>
      <c r="AF167" s="93"/>
      <c r="AG167" s="93"/>
      <c r="AH167" s="93"/>
      <c r="AI167" s="93"/>
      <c r="AJ167" s="93"/>
    </row>
    <row r="168" spans="30:36" ht="18">
      <c r="AD168" s="93"/>
      <c r="AE168" s="214"/>
      <c r="AF168" s="93"/>
      <c r="AG168" s="93"/>
      <c r="AH168" s="93"/>
      <c r="AI168" s="93"/>
      <c r="AJ168" s="93"/>
    </row>
    <row r="169" spans="30:36" ht="18">
      <c r="AD169" s="93"/>
      <c r="AE169" s="214"/>
      <c r="AF169" s="93"/>
      <c r="AG169" s="93"/>
      <c r="AH169" s="93"/>
      <c r="AI169" s="93"/>
      <c r="AJ169" s="93"/>
    </row>
    <row r="170" spans="30:36" ht="18">
      <c r="AD170" s="93"/>
      <c r="AE170" s="214"/>
      <c r="AF170" s="93"/>
      <c r="AG170" s="93"/>
      <c r="AH170" s="93"/>
      <c r="AI170" s="93"/>
      <c r="AJ170" s="93"/>
    </row>
    <row r="171" spans="30:36" ht="18">
      <c r="AD171" s="93"/>
      <c r="AE171" s="214"/>
      <c r="AF171" s="93"/>
      <c r="AG171" s="93"/>
      <c r="AH171" s="93"/>
      <c r="AI171" s="93"/>
      <c r="AJ171" s="93"/>
    </row>
    <row r="172" spans="30:36" ht="18">
      <c r="AD172" s="93"/>
      <c r="AE172" s="214"/>
      <c r="AF172" s="93"/>
      <c r="AG172" s="93"/>
      <c r="AH172" s="93"/>
      <c r="AI172" s="93"/>
      <c r="AJ172" s="93"/>
    </row>
    <row r="173" spans="30:36" ht="18">
      <c r="AD173" s="93"/>
      <c r="AE173" s="214"/>
      <c r="AF173" s="93"/>
      <c r="AG173" s="93"/>
      <c r="AH173" s="93"/>
      <c r="AI173" s="93"/>
      <c r="AJ173" s="93"/>
    </row>
    <row r="174" spans="30:36" ht="18">
      <c r="AD174" s="93"/>
      <c r="AE174" s="214"/>
      <c r="AF174" s="93"/>
      <c r="AG174" s="93"/>
      <c r="AH174" s="93"/>
      <c r="AI174" s="93"/>
      <c r="AJ174" s="93"/>
    </row>
    <row r="175" spans="30:36" ht="18">
      <c r="AD175" s="93"/>
      <c r="AE175" s="214"/>
      <c r="AF175" s="93"/>
      <c r="AG175" s="93"/>
      <c r="AH175" s="93"/>
      <c r="AI175" s="93"/>
      <c r="AJ175" s="93"/>
    </row>
    <row r="176" spans="30:36" ht="18">
      <c r="AD176" s="93"/>
      <c r="AE176" s="214"/>
      <c r="AF176" s="93"/>
      <c r="AG176" s="93"/>
      <c r="AH176" s="93"/>
      <c r="AI176" s="93"/>
      <c r="AJ176" s="93"/>
    </row>
    <row r="177" spans="30:36" ht="18">
      <c r="AD177" s="93"/>
      <c r="AE177" s="214"/>
      <c r="AF177" s="93"/>
      <c r="AG177" s="93"/>
      <c r="AH177" s="93"/>
      <c r="AI177" s="93"/>
      <c r="AJ177" s="93"/>
    </row>
    <row r="178" spans="30:36" ht="18">
      <c r="AD178" s="93"/>
      <c r="AE178" s="214"/>
      <c r="AF178" s="93"/>
      <c r="AG178" s="93"/>
      <c r="AH178" s="93"/>
      <c r="AI178" s="93"/>
      <c r="AJ178" s="93"/>
    </row>
    <row r="179" spans="30:36" ht="18">
      <c r="AD179" s="93"/>
      <c r="AE179" s="214"/>
      <c r="AF179" s="93"/>
      <c r="AG179" s="93"/>
      <c r="AH179" s="93"/>
      <c r="AI179" s="93"/>
      <c r="AJ179" s="93"/>
    </row>
    <row r="180" spans="30:36" ht="18">
      <c r="AD180" s="93"/>
      <c r="AE180" s="214"/>
      <c r="AF180" s="93"/>
      <c r="AG180" s="93"/>
      <c r="AH180" s="93"/>
      <c r="AI180" s="93"/>
      <c r="AJ180" s="93"/>
    </row>
    <row r="181" spans="30:36" ht="18">
      <c r="AD181" s="93"/>
      <c r="AE181" s="214"/>
      <c r="AF181" s="93"/>
      <c r="AG181" s="93"/>
      <c r="AH181" s="93"/>
      <c r="AI181" s="93"/>
      <c r="AJ181" s="93"/>
    </row>
    <row r="182" spans="30:36" ht="18">
      <c r="AD182" s="93"/>
      <c r="AE182" s="214"/>
      <c r="AF182" s="93"/>
      <c r="AG182" s="93"/>
      <c r="AH182" s="93"/>
      <c r="AI182" s="93"/>
      <c r="AJ182" s="93"/>
    </row>
    <row r="183" spans="30:36" ht="18">
      <c r="AD183" s="93"/>
      <c r="AE183" s="214"/>
      <c r="AF183" s="93"/>
      <c r="AG183" s="93"/>
      <c r="AH183" s="93"/>
      <c r="AI183" s="93"/>
      <c r="AJ183" s="93"/>
    </row>
    <row r="184" spans="30:36" ht="18">
      <c r="AD184" s="93"/>
      <c r="AE184" s="214"/>
      <c r="AF184" s="93"/>
      <c r="AG184" s="93"/>
      <c r="AH184" s="93"/>
      <c r="AI184" s="93"/>
      <c r="AJ184" s="93"/>
    </row>
    <row r="185" spans="30:36" ht="18">
      <c r="AD185" s="93"/>
      <c r="AE185" s="214"/>
      <c r="AF185" s="93"/>
      <c r="AG185" s="93"/>
      <c r="AH185" s="93"/>
      <c r="AI185" s="93"/>
      <c r="AJ185" s="93"/>
    </row>
    <row r="186" spans="30:36" ht="18">
      <c r="AD186" s="93"/>
      <c r="AE186" s="214"/>
      <c r="AF186" s="93"/>
      <c r="AG186" s="93"/>
      <c r="AH186" s="93"/>
      <c r="AI186" s="93"/>
      <c r="AJ186" s="93"/>
    </row>
    <row r="187" spans="30:36" ht="18">
      <c r="AD187" s="93"/>
      <c r="AE187" s="214"/>
      <c r="AF187" s="93"/>
      <c r="AG187" s="93"/>
      <c r="AH187" s="93"/>
      <c r="AI187" s="93"/>
      <c r="AJ187" s="93"/>
    </row>
    <row r="188" spans="30:36" ht="18">
      <c r="AD188" s="93"/>
      <c r="AE188" s="214"/>
      <c r="AF188" s="93"/>
      <c r="AG188" s="93"/>
      <c r="AH188" s="93"/>
      <c r="AI188" s="93"/>
      <c r="AJ188" s="93"/>
    </row>
    <row r="189" spans="30:36" ht="18">
      <c r="AD189" s="93"/>
      <c r="AE189" s="214"/>
      <c r="AF189" s="93"/>
      <c r="AG189" s="93"/>
      <c r="AH189" s="93"/>
      <c r="AI189" s="93"/>
      <c r="AJ189" s="93"/>
    </row>
    <row r="190" spans="30:36" ht="18">
      <c r="AD190" s="93"/>
      <c r="AE190" s="214"/>
      <c r="AF190" s="93"/>
      <c r="AG190" s="93"/>
      <c r="AH190" s="93"/>
      <c r="AI190" s="93"/>
      <c r="AJ190" s="93"/>
    </row>
    <row r="191" spans="30:36" ht="18">
      <c r="AD191" s="93"/>
      <c r="AE191" s="214"/>
      <c r="AF191" s="93"/>
      <c r="AG191" s="93"/>
      <c r="AH191" s="93"/>
      <c r="AI191" s="93"/>
      <c r="AJ191" s="93"/>
    </row>
    <row r="192" spans="30:36" ht="18">
      <c r="AD192" s="93"/>
      <c r="AE192" s="215"/>
      <c r="AF192" s="93"/>
      <c r="AG192" s="93"/>
      <c r="AH192" s="93"/>
      <c r="AI192" s="93"/>
      <c r="AJ192" s="93"/>
    </row>
    <row r="193" spans="30:36" ht="18">
      <c r="AD193" s="93"/>
      <c r="AE193" s="215"/>
      <c r="AF193" s="93"/>
      <c r="AG193" s="93"/>
      <c r="AH193" s="93"/>
      <c r="AI193" s="93"/>
      <c r="AJ193" s="93"/>
    </row>
    <row r="194" spans="30:36" ht="18">
      <c r="AD194" s="93"/>
      <c r="AE194" s="214"/>
      <c r="AF194" s="93"/>
      <c r="AG194" s="93"/>
      <c r="AH194" s="93"/>
      <c r="AI194" s="93"/>
      <c r="AJ194" s="93"/>
    </row>
    <row r="195" spans="30:36" ht="18">
      <c r="AD195" s="93"/>
      <c r="AE195" s="214"/>
      <c r="AF195" s="93"/>
      <c r="AG195" s="93"/>
      <c r="AH195" s="93"/>
      <c r="AI195" s="93"/>
      <c r="AJ195" s="93"/>
    </row>
    <row r="196" spans="30:36" ht="18">
      <c r="AD196" s="93"/>
      <c r="AE196" s="214"/>
      <c r="AF196" s="93"/>
      <c r="AG196" s="93"/>
      <c r="AH196" s="93"/>
      <c r="AI196" s="93"/>
      <c r="AJ196" s="93"/>
    </row>
    <row r="197" spans="30:36" ht="18">
      <c r="AD197" s="93"/>
      <c r="AE197" s="214"/>
      <c r="AF197" s="93"/>
      <c r="AG197" s="93"/>
      <c r="AH197" s="93"/>
      <c r="AI197" s="93"/>
      <c r="AJ197" s="93"/>
    </row>
    <row r="198" spans="30:36" ht="18">
      <c r="AD198" s="93"/>
      <c r="AE198" s="214"/>
      <c r="AF198" s="93"/>
      <c r="AG198" s="93"/>
      <c r="AH198" s="93"/>
      <c r="AI198" s="93"/>
      <c r="AJ198" s="93"/>
    </row>
    <row r="199" spans="30:36" ht="18">
      <c r="AD199" s="93"/>
      <c r="AE199" s="214"/>
      <c r="AF199" s="93"/>
      <c r="AG199" s="93"/>
      <c r="AH199" s="93"/>
      <c r="AI199" s="93"/>
      <c r="AJ199" s="93"/>
    </row>
    <row r="200" spans="30:36" ht="18">
      <c r="AD200" s="93"/>
      <c r="AE200" s="214"/>
      <c r="AF200" s="93"/>
      <c r="AG200" s="93"/>
      <c r="AH200" s="93"/>
      <c r="AI200" s="93"/>
      <c r="AJ200" s="93"/>
    </row>
    <row r="201" spans="30:36" ht="18">
      <c r="AD201" s="93"/>
      <c r="AE201" s="214"/>
      <c r="AF201" s="93"/>
      <c r="AG201" s="93"/>
      <c r="AH201" s="93"/>
      <c r="AI201" s="93"/>
      <c r="AJ201" s="93"/>
    </row>
    <row r="202" spans="30:36" ht="18">
      <c r="AD202" s="93"/>
      <c r="AE202" s="214"/>
      <c r="AF202" s="93"/>
      <c r="AG202" s="93"/>
      <c r="AH202" s="93"/>
      <c r="AI202" s="93"/>
      <c r="AJ202" s="93"/>
    </row>
    <row r="203" spans="30:36" ht="18">
      <c r="AD203" s="93"/>
      <c r="AE203" s="214"/>
      <c r="AF203" s="93"/>
      <c r="AG203" s="93"/>
      <c r="AH203" s="93"/>
      <c r="AI203" s="93"/>
      <c r="AJ203" s="93"/>
    </row>
    <row r="204" spans="30:36" ht="18">
      <c r="AD204" s="93"/>
      <c r="AE204" s="214"/>
      <c r="AF204" s="93"/>
      <c r="AG204" s="93"/>
      <c r="AH204" s="93"/>
      <c r="AI204" s="93"/>
      <c r="AJ204" s="93"/>
    </row>
    <row r="205" spans="30:36" ht="18">
      <c r="AD205" s="93"/>
      <c r="AE205" s="214"/>
      <c r="AF205" s="93"/>
      <c r="AG205" s="93"/>
      <c r="AH205" s="93"/>
      <c r="AI205" s="93"/>
      <c r="AJ205" s="93"/>
    </row>
    <row r="206" spans="30:36" ht="18">
      <c r="AD206" s="93"/>
      <c r="AE206" s="214"/>
      <c r="AF206" s="93"/>
      <c r="AG206" s="93"/>
      <c r="AH206" s="93"/>
      <c r="AI206" s="93"/>
      <c r="AJ206" s="93"/>
    </row>
    <row r="207" spans="30:36" ht="18">
      <c r="AD207" s="93"/>
      <c r="AE207" s="214"/>
      <c r="AF207" s="93"/>
      <c r="AG207" s="93"/>
      <c r="AH207" s="93"/>
      <c r="AI207" s="93"/>
      <c r="AJ207" s="93"/>
    </row>
    <row r="208" spans="30:36" ht="18">
      <c r="AD208" s="93"/>
      <c r="AE208" s="214"/>
      <c r="AF208" s="93"/>
      <c r="AG208" s="93"/>
      <c r="AH208" s="93"/>
      <c r="AI208" s="93"/>
      <c r="AJ208" s="93"/>
    </row>
    <row r="209" spans="30:36" ht="18">
      <c r="AD209" s="93"/>
      <c r="AE209" s="214"/>
      <c r="AF209" s="93"/>
      <c r="AG209" s="93"/>
      <c r="AH209" s="93"/>
      <c r="AI209" s="93"/>
      <c r="AJ209" s="93"/>
    </row>
    <row r="210" spans="30:36" ht="18">
      <c r="AD210" s="93"/>
      <c r="AE210" s="214"/>
      <c r="AF210" s="93"/>
      <c r="AG210" s="93"/>
      <c r="AH210" s="93"/>
      <c r="AI210" s="93"/>
      <c r="AJ210" s="93"/>
    </row>
    <row r="211" spans="30:36" ht="18">
      <c r="AD211" s="93"/>
      <c r="AE211" s="214"/>
      <c r="AF211" s="93"/>
      <c r="AG211" s="93"/>
      <c r="AH211" s="93"/>
      <c r="AI211" s="93"/>
      <c r="AJ211" s="93"/>
    </row>
    <row r="212" spans="30:36" ht="18">
      <c r="AD212" s="93"/>
      <c r="AE212" s="214"/>
      <c r="AF212" s="93"/>
      <c r="AG212" s="93"/>
      <c r="AH212" s="93"/>
      <c r="AI212" s="93"/>
      <c r="AJ212" s="93"/>
    </row>
    <row r="213" spans="30:36" ht="18">
      <c r="AD213" s="93"/>
      <c r="AE213" s="214"/>
      <c r="AF213" s="93"/>
      <c r="AG213" s="93"/>
      <c r="AH213" s="93"/>
      <c r="AI213" s="93"/>
      <c r="AJ213" s="93"/>
    </row>
    <row r="214" spans="30:36" ht="18">
      <c r="AD214" s="93"/>
      <c r="AE214" s="214"/>
      <c r="AF214" s="93"/>
      <c r="AG214" s="93"/>
      <c r="AH214" s="93"/>
      <c r="AI214" s="93"/>
      <c r="AJ214" s="93"/>
    </row>
    <row r="215" spans="30:36" ht="18">
      <c r="AD215" s="93"/>
      <c r="AE215" s="214"/>
      <c r="AF215" s="93"/>
      <c r="AG215" s="93"/>
      <c r="AH215" s="93"/>
      <c r="AI215" s="93"/>
      <c r="AJ215" s="93"/>
    </row>
    <row r="216" spans="30:36" ht="18">
      <c r="AD216" s="93"/>
      <c r="AE216" s="214"/>
      <c r="AF216" s="93"/>
      <c r="AG216" s="93"/>
      <c r="AH216" s="93"/>
      <c r="AI216" s="93"/>
      <c r="AJ216" s="93"/>
    </row>
    <row r="217" spans="30:36" ht="18">
      <c r="AD217" s="93"/>
      <c r="AE217" s="214"/>
      <c r="AF217" s="93"/>
      <c r="AG217" s="93"/>
      <c r="AH217" s="93"/>
      <c r="AI217" s="93"/>
      <c r="AJ217" s="93"/>
    </row>
    <row r="218" spans="30:36" ht="18">
      <c r="AD218" s="93"/>
      <c r="AE218" s="214"/>
      <c r="AF218" s="93"/>
      <c r="AG218" s="93"/>
      <c r="AH218" s="93"/>
      <c r="AI218" s="93"/>
      <c r="AJ218" s="93"/>
    </row>
    <row r="219" spans="30:36" ht="18">
      <c r="AD219" s="93"/>
      <c r="AE219" s="214"/>
      <c r="AF219" s="93"/>
      <c r="AG219" s="93"/>
      <c r="AH219" s="93"/>
      <c r="AI219" s="93"/>
      <c r="AJ219" s="93"/>
    </row>
    <row r="220" spans="30:36" ht="18">
      <c r="AD220" s="93"/>
      <c r="AE220" s="214"/>
      <c r="AF220" s="93"/>
      <c r="AG220" s="93"/>
      <c r="AH220" s="93"/>
      <c r="AI220" s="93"/>
      <c r="AJ220" s="93"/>
    </row>
    <row r="221" spans="30:36" ht="18">
      <c r="AD221" s="93"/>
      <c r="AE221" s="214"/>
      <c r="AF221" s="93"/>
      <c r="AG221" s="93"/>
      <c r="AH221" s="93"/>
      <c r="AI221" s="93"/>
      <c r="AJ221" s="93"/>
    </row>
    <row r="222" spans="30:36" ht="18">
      <c r="AD222" s="93"/>
      <c r="AE222" s="214"/>
      <c r="AF222" s="93"/>
      <c r="AG222" s="93"/>
      <c r="AH222" s="93"/>
      <c r="AI222" s="93"/>
      <c r="AJ222" s="93"/>
    </row>
    <row r="223" spans="30:36" ht="18">
      <c r="AD223" s="93"/>
      <c r="AE223" s="214"/>
      <c r="AF223" s="93"/>
      <c r="AG223" s="93"/>
      <c r="AH223" s="93"/>
      <c r="AI223" s="93"/>
      <c r="AJ223" s="93"/>
    </row>
    <row r="224" spans="30:36" ht="18">
      <c r="AD224" s="93"/>
      <c r="AE224" s="214"/>
      <c r="AF224" s="93"/>
      <c r="AG224" s="93"/>
      <c r="AH224" s="93"/>
      <c r="AI224" s="93"/>
      <c r="AJ224" s="93"/>
    </row>
    <row r="225" spans="30:36" ht="18">
      <c r="AD225" s="93"/>
      <c r="AE225" s="214"/>
      <c r="AF225" s="93"/>
      <c r="AG225" s="93"/>
      <c r="AH225" s="93"/>
      <c r="AI225" s="93"/>
      <c r="AJ225" s="93"/>
    </row>
    <row r="226" spans="30:36" ht="18">
      <c r="AD226" s="93"/>
      <c r="AE226" s="214"/>
      <c r="AF226" s="93"/>
      <c r="AG226" s="93"/>
      <c r="AH226" s="93"/>
      <c r="AI226" s="93"/>
      <c r="AJ226" s="93"/>
    </row>
    <row r="227" spans="30:36" ht="18">
      <c r="AD227" s="93"/>
      <c r="AE227" s="214"/>
      <c r="AF227" s="93"/>
      <c r="AG227" s="93"/>
      <c r="AH227" s="93"/>
      <c r="AI227" s="93"/>
      <c r="AJ227" s="93"/>
    </row>
    <row r="228" spans="30:36" ht="18">
      <c r="AD228" s="93"/>
      <c r="AE228" s="214"/>
      <c r="AF228" s="93"/>
      <c r="AG228" s="93"/>
      <c r="AH228" s="93"/>
      <c r="AI228" s="93"/>
      <c r="AJ228" s="93"/>
    </row>
    <row r="229" spans="30:36" ht="18">
      <c r="AD229" s="93"/>
      <c r="AE229" s="214"/>
      <c r="AF229" s="93"/>
      <c r="AG229" s="93"/>
      <c r="AH229" s="93"/>
      <c r="AI229" s="93"/>
      <c r="AJ229" s="93"/>
    </row>
    <row r="230" spans="30:36" ht="18">
      <c r="AD230" s="93"/>
      <c r="AE230" s="214"/>
      <c r="AF230" s="93"/>
      <c r="AG230" s="93"/>
      <c r="AH230" s="93"/>
      <c r="AI230" s="93"/>
      <c r="AJ230" s="93"/>
    </row>
    <row r="231" spans="30:36" ht="18">
      <c r="AD231" s="93"/>
      <c r="AE231" s="214"/>
      <c r="AF231" s="93"/>
      <c r="AG231" s="93"/>
      <c r="AH231" s="93"/>
      <c r="AI231" s="93"/>
      <c r="AJ231" s="93"/>
    </row>
    <row r="232" spans="30:36" ht="18">
      <c r="AD232" s="93"/>
      <c r="AE232" s="214"/>
      <c r="AF232" s="93"/>
      <c r="AG232" s="93"/>
      <c r="AH232" s="93"/>
      <c r="AI232" s="93"/>
      <c r="AJ232" s="93"/>
    </row>
    <row r="233" spans="30:36" ht="18">
      <c r="AD233" s="93"/>
      <c r="AE233" s="214"/>
      <c r="AF233" s="93"/>
      <c r="AG233" s="93"/>
      <c r="AH233" s="93"/>
      <c r="AI233" s="93"/>
      <c r="AJ233" s="93"/>
    </row>
    <row r="234" spans="30:36" ht="18">
      <c r="AD234" s="93"/>
      <c r="AE234" s="214"/>
      <c r="AF234" s="93"/>
      <c r="AG234" s="93"/>
      <c r="AH234" s="93"/>
      <c r="AI234" s="93"/>
      <c r="AJ234" s="93"/>
    </row>
    <row r="235" spans="30:36" ht="18">
      <c r="AD235" s="93"/>
      <c r="AE235" s="214"/>
      <c r="AF235" s="93"/>
      <c r="AG235" s="93"/>
      <c r="AH235" s="93"/>
      <c r="AI235" s="93"/>
      <c r="AJ235" s="93"/>
    </row>
    <row r="236" spans="30:36" ht="18">
      <c r="AD236" s="93"/>
      <c r="AE236" s="214"/>
      <c r="AF236" s="93"/>
      <c r="AG236" s="93"/>
      <c r="AH236" s="93"/>
      <c r="AI236" s="93"/>
      <c r="AJ236" s="93"/>
    </row>
    <row r="237" spans="30:36" ht="18">
      <c r="AD237" s="93"/>
      <c r="AE237" s="214"/>
      <c r="AF237" s="93"/>
      <c r="AG237" s="93"/>
      <c r="AH237" s="93"/>
      <c r="AI237" s="93"/>
      <c r="AJ237" s="93"/>
    </row>
    <row r="238" spans="30:36" ht="18">
      <c r="AD238" s="93"/>
      <c r="AE238" s="214"/>
      <c r="AF238" s="93"/>
      <c r="AG238" s="93"/>
      <c r="AH238" s="93"/>
      <c r="AI238" s="93"/>
      <c r="AJ238" s="93"/>
    </row>
    <row r="239" spans="30:36" ht="18">
      <c r="AD239" s="93"/>
      <c r="AE239" s="214"/>
      <c r="AF239" s="93"/>
      <c r="AG239" s="93"/>
      <c r="AH239" s="93"/>
      <c r="AI239" s="93"/>
      <c r="AJ239" s="93"/>
    </row>
    <row r="240" spans="30:36" ht="18">
      <c r="AD240" s="93"/>
      <c r="AE240" s="214"/>
      <c r="AF240" s="93"/>
      <c r="AG240" s="93"/>
      <c r="AH240" s="93"/>
      <c r="AI240" s="93"/>
      <c r="AJ240" s="93"/>
    </row>
    <row r="241" spans="30:36" ht="18">
      <c r="AD241" s="93"/>
      <c r="AE241" s="214"/>
      <c r="AF241" s="93"/>
      <c r="AG241" s="93"/>
      <c r="AH241" s="93"/>
      <c r="AI241" s="93"/>
      <c r="AJ241" s="93"/>
    </row>
    <row r="242" spans="30:36" ht="18">
      <c r="AD242" s="93"/>
      <c r="AE242" s="214"/>
      <c r="AF242" s="93"/>
      <c r="AG242" s="93"/>
      <c r="AH242" s="93"/>
      <c r="AI242" s="93"/>
      <c r="AJ242" s="93"/>
    </row>
    <row r="243" spans="30:36" ht="18">
      <c r="AD243" s="93"/>
      <c r="AE243" s="214"/>
      <c r="AF243" s="93"/>
      <c r="AG243" s="93"/>
      <c r="AH243" s="93"/>
      <c r="AI243" s="93"/>
      <c r="AJ243" s="93"/>
    </row>
    <row r="244" spans="30:36" ht="18">
      <c r="AD244" s="93"/>
      <c r="AE244" s="214"/>
      <c r="AF244" s="93"/>
      <c r="AG244" s="93"/>
      <c r="AH244" s="93"/>
      <c r="AI244" s="93"/>
      <c r="AJ244" s="93"/>
    </row>
    <row r="245" spans="30:36" ht="18">
      <c r="AD245" s="93"/>
      <c r="AE245" s="214"/>
      <c r="AF245" s="93"/>
      <c r="AG245" s="93"/>
      <c r="AH245" s="93"/>
      <c r="AI245" s="93"/>
      <c r="AJ245" s="93"/>
    </row>
    <row r="246" spans="30:36" ht="18">
      <c r="AD246" s="93"/>
      <c r="AE246" s="214"/>
      <c r="AF246" s="93"/>
      <c r="AG246" s="93"/>
      <c r="AH246" s="93"/>
      <c r="AI246" s="93"/>
      <c r="AJ246" s="93"/>
    </row>
    <row r="247" spans="30:36" ht="18">
      <c r="AD247" s="93"/>
      <c r="AE247" s="214"/>
      <c r="AF247" s="93"/>
      <c r="AG247" s="93"/>
      <c r="AH247" s="93"/>
      <c r="AI247" s="93"/>
      <c r="AJ247" s="93"/>
    </row>
    <row r="248" spans="30:36" ht="18">
      <c r="AD248" s="93"/>
      <c r="AE248" s="214"/>
      <c r="AF248" s="93"/>
      <c r="AG248" s="93"/>
      <c r="AH248" s="93"/>
      <c r="AI248" s="93"/>
      <c r="AJ248" s="93"/>
    </row>
    <row r="249" spans="30:36" ht="18">
      <c r="AD249" s="93"/>
      <c r="AE249" s="214"/>
      <c r="AF249" s="93"/>
      <c r="AG249" s="93"/>
      <c r="AH249" s="93"/>
      <c r="AI249" s="93"/>
      <c r="AJ249" s="93"/>
    </row>
    <row r="250" spans="30:36" ht="18">
      <c r="AD250" s="93"/>
      <c r="AE250" s="214"/>
      <c r="AF250" s="93"/>
      <c r="AG250" s="93"/>
      <c r="AH250" s="93"/>
      <c r="AI250" s="93"/>
      <c r="AJ250" s="93"/>
    </row>
    <row r="251" spans="30:36" ht="18">
      <c r="AD251" s="93"/>
      <c r="AE251" s="214"/>
      <c r="AF251" s="93"/>
      <c r="AG251" s="93"/>
      <c r="AH251" s="93"/>
      <c r="AI251" s="93"/>
      <c r="AJ251" s="93"/>
    </row>
    <row r="252" spans="30:36" ht="18">
      <c r="AD252" s="93"/>
      <c r="AE252" s="214"/>
      <c r="AF252" s="93"/>
      <c r="AG252" s="93"/>
      <c r="AH252" s="93"/>
      <c r="AI252" s="93"/>
      <c r="AJ252" s="93"/>
    </row>
    <row r="253" spans="30:36" ht="18">
      <c r="AD253" s="93"/>
      <c r="AE253" s="214"/>
      <c r="AF253" s="93"/>
      <c r="AG253" s="93"/>
      <c r="AH253" s="93"/>
      <c r="AI253" s="93"/>
      <c r="AJ253" s="93"/>
    </row>
    <row r="254" spans="30:36" ht="18">
      <c r="AD254" s="93"/>
      <c r="AE254" s="214"/>
      <c r="AF254" s="93"/>
      <c r="AG254" s="93"/>
      <c r="AH254" s="93"/>
      <c r="AI254" s="93"/>
      <c r="AJ254" s="93"/>
    </row>
    <row r="255" spans="30:36" ht="18">
      <c r="AD255" s="93"/>
      <c r="AE255" s="214"/>
      <c r="AF255" s="93"/>
      <c r="AG255" s="93"/>
      <c r="AH255" s="93"/>
      <c r="AI255" s="93"/>
      <c r="AJ255" s="93"/>
    </row>
    <row r="256" spans="30:36" ht="18">
      <c r="AD256" s="93"/>
      <c r="AE256" s="214"/>
      <c r="AF256" s="93"/>
      <c r="AG256" s="93"/>
      <c r="AH256" s="93"/>
      <c r="AI256" s="93"/>
      <c r="AJ256" s="93"/>
    </row>
    <row r="257" spans="30:36" ht="18">
      <c r="AD257" s="93"/>
      <c r="AE257" s="214"/>
      <c r="AF257" s="93"/>
      <c r="AG257" s="93"/>
      <c r="AH257" s="93"/>
      <c r="AI257" s="93"/>
      <c r="AJ257" s="93"/>
    </row>
    <row r="258" spans="30:36" ht="18">
      <c r="AD258" s="93"/>
      <c r="AE258" s="214"/>
      <c r="AF258" s="93"/>
      <c r="AG258" s="93"/>
      <c r="AH258" s="93"/>
      <c r="AI258" s="93"/>
      <c r="AJ258" s="93"/>
    </row>
    <row r="259" spans="30:36" ht="18">
      <c r="AD259" s="93"/>
      <c r="AE259" s="214"/>
      <c r="AF259" s="93"/>
      <c r="AG259" s="93"/>
      <c r="AH259" s="93"/>
      <c r="AI259" s="93"/>
      <c r="AJ259" s="93"/>
    </row>
    <row r="260" spans="30:36" ht="18">
      <c r="AD260" s="93"/>
      <c r="AE260" s="214"/>
      <c r="AF260" s="93"/>
      <c r="AG260" s="93"/>
      <c r="AH260" s="93"/>
      <c r="AI260" s="93"/>
      <c r="AJ260" s="93"/>
    </row>
    <row r="261" spans="30:36" ht="18">
      <c r="AD261" s="93"/>
      <c r="AE261" s="214"/>
      <c r="AF261" s="93"/>
      <c r="AG261" s="93"/>
      <c r="AH261" s="93"/>
      <c r="AI261" s="93"/>
      <c r="AJ261" s="93"/>
    </row>
    <row r="262" spans="30:36" ht="18">
      <c r="AD262" s="93"/>
      <c r="AE262" s="214"/>
      <c r="AF262" s="93"/>
      <c r="AG262" s="93"/>
      <c r="AH262" s="93"/>
      <c r="AI262" s="93"/>
      <c r="AJ262" s="93"/>
    </row>
    <row r="263" spans="30:36" ht="18">
      <c r="AD263" s="93"/>
      <c r="AE263" s="214"/>
      <c r="AF263" s="93"/>
      <c r="AG263" s="93"/>
      <c r="AH263" s="93"/>
      <c r="AI263" s="93"/>
      <c r="AJ263" s="93"/>
    </row>
    <row r="264" spans="30:36" ht="18">
      <c r="AD264" s="93"/>
      <c r="AE264" s="214"/>
      <c r="AF264" s="93"/>
      <c r="AG264" s="93"/>
      <c r="AH264" s="93"/>
      <c r="AI264" s="93"/>
      <c r="AJ264" s="93"/>
    </row>
    <row r="265" spans="30:36" ht="18">
      <c r="AD265" s="93"/>
      <c r="AE265" s="214"/>
      <c r="AF265" s="93"/>
      <c r="AG265" s="93"/>
      <c r="AH265" s="93"/>
      <c r="AI265" s="93"/>
      <c r="AJ265" s="93"/>
    </row>
    <row r="266" spans="30:36" ht="18">
      <c r="AD266" s="93"/>
      <c r="AE266" s="214"/>
      <c r="AF266" s="93"/>
      <c r="AG266" s="93"/>
      <c r="AH266" s="93"/>
      <c r="AI266" s="93"/>
      <c r="AJ266" s="93"/>
    </row>
    <row r="267" spans="30:36" ht="18">
      <c r="AD267" s="93"/>
      <c r="AE267" s="214"/>
      <c r="AF267" s="93"/>
      <c r="AG267" s="93"/>
      <c r="AH267" s="93"/>
      <c r="AI267" s="93"/>
      <c r="AJ267" s="93"/>
    </row>
    <row r="268" spans="30:36" ht="18">
      <c r="AD268" s="93"/>
      <c r="AE268" s="214"/>
      <c r="AF268" s="93"/>
      <c r="AG268" s="93"/>
      <c r="AH268" s="93"/>
      <c r="AI268" s="93"/>
      <c r="AJ268" s="93"/>
    </row>
    <row r="269" spans="30:36" ht="18">
      <c r="AD269" s="93"/>
      <c r="AE269" s="214"/>
      <c r="AF269" s="93"/>
      <c r="AG269" s="93"/>
      <c r="AH269" s="93"/>
      <c r="AI269" s="93"/>
      <c r="AJ269" s="93"/>
    </row>
    <row r="270" spans="30:36" ht="18">
      <c r="AD270" s="93"/>
      <c r="AE270" s="214"/>
      <c r="AF270" s="93"/>
      <c r="AG270" s="93"/>
      <c r="AH270" s="93"/>
      <c r="AI270" s="93"/>
      <c r="AJ270" s="93"/>
    </row>
    <row r="271" spans="30:36" ht="18">
      <c r="AD271" s="93"/>
      <c r="AE271" s="214"/>
      <c r="AF271" s="93"/>
      <c r="AG271" s="93"/>
      <c r="AH271" s="93"/>
      <c r="AI271" s="93"/>
      <c r="AJ271" s="93"/>
    </row>
    <row r="272" spans="30:36" ht="18">
      <c r="AD272" s="93"/>
      <c r="AE272" s="214"/>
      <c r="AF272" s="93"/>
      <c r="AG272" s="93"/>
      <c r="AH272" s="93"/>
      <c r="AI272" s="93"/>
      <c r="AJ272" s="93"/>
    </row>
    <row r="273" spans="30:36" ht="18">
      <c r="AD273" s="93"/>
      <c r="AE273" s="214"/>
      <c r="AF273" s="93"/>
      <c r="AG273" s="93"/>
      <c r="AH273" s="93"/>
      <c r="AI273" s="93"/>
      <c r="AJ273" s="93"/>
    </row>
    <row r="274" spans="30:36" ht="18">
      <c r="AD274" s="93"/>
      <c r="AE274" s="214"/>
      <c r="AF274" s="93"/>
      <c r="AG274" s="93"/>
      <c r="AH274" s="93"/>
      <c r="AI274" s="93"/>
      <c r="AJ274" s="93"/>
    </row>
    <row r="275" spans="30:36" ht="18">
      <c r="AD275" s="93"/>
      <c r="AE275" s="215"/>
      <c r="AF275" s="93"/>
      <c r="AG275" s="93"/>
      <c r="AH275" s="93"/>
      <c r="AI275" s="93"/>
      <c r="AJ275" s="93"/>
    </row>
    <row r="276" spans="30:36" ht="18">
      <c r="AD276" s="93"/>
      <c r="AE276" s="215"/>
      <c r="AF276" s="93"/>
      <c r="AG276" s="93"/>
      <c r="AH276" s="93"/>
      <c r="AI276" s="93"/>
      <c r="AJ276" s="93"/>
    </row>
    <row r="277" spans="30:36" ht="18">
      <c r="AD277" s="93"/>
      <c r="AE277" s="214"/>
      <c r="AF277" s="93"/>
      <c r="AG277" s="93"/>
      <c r="AH277" s="93"/>
      <c r="AI277" s="93"/>
      <c r="AJ277" s="93"/>
    </row>
    <row r="278" spans="30:36" ht="18">
      <c r="AD278" s="93"/>
      <c r="AE278" s="214"/>
      <c r="AF278" s="93"/>
      <c r="AG278" s="93"/>
      <c r="AH278" s="93"/>
      <c r="AI278" s="93"/>
      <c r="AJ278" s="93"/>
    </row>
    <row r="279" spans="30:36" ht="18">
      <c r="AD279" s="93"/>
      <c r="AE279" s="214"/>
      <c r="AF279" s="93"/>
      <c r="AG279" s="93"/>
      <c r="AH279" s="93"/>
      <c r="AI279" s="93"/>
      <c r="AJ279" s="93"/>
    </row>
    <row r="280" spans="30:36" ht="18">
      <c r="AD280" s="93"/>
      <c r="AE280" s="214"/>
      <c r="AF280" s="93"/>
      <c r="AG280" s="93"/>
      <c r="AH280" s="93"/>
      <c r="AI280" s="93"/>
      <c r="AJ280" s="93"/>
    </row>
    <row r="281" spans="30:36" ht="18">
      <c r="AD281" s="93"/>
      <c r="AE281" s="214"/>
      <c r="AF281" s="93"/>
      <c r="AG281" s="93"/>
      <c r="AH281" s="93"/>
      <c r="AI281" s="93"/>
      <c r="AJ281" s="93"/>
    </row>
    <row r="282" spans="30:36" ht="18">
      <c r="AD282" s="93"/>
      <c r="AE282" s="214"/>
      <c r="AF282" s="93"/>
      <c r="AG282" s="93"/>
      <c r="AH282" s="93"/>
      <c r="AI282" s="93"/>
      <c r="AJ282" s="93"/>
    </row>
    <row r="283" spans="30:36" ht="18">
      <c r="AD283" s="93"/>
      <c r="AE283" s="215"/>
      <c r="AF283" s="93"/>
      <c r="AG283" s="93"/>
      <c r="AH283" s="93"/>
      <c r="AI283" s="93"/>
      <c r="AJ283" s="93"/>
    </row>
    <row r="284" spans="30:36" ht="18">
      <c r="AD284" s="93"/>
      <c r="AE284" s="215"/>
      <c r="AF284" s="93"/>
      <c r="AG284" s="93"/>
      <c r="AH284" s="93"/>
      <c r="AI284" s="93"/>
      <c r="AJ284" s="93"/>
    </row>
    <row r="285" spans="30:36" ht="18">
      <c r="AD285" s="93"/>
      <c r="AE285" s="214"/>
      <c r="AF285" s="93"/>
      <c r="AG285" s="93"/>
      <c r="AH285" s="93"/>
      <c r="AI285" s="93"/>
      <c r="AJ285" s="93"/>
    </row>
    <row r="286" spans="30:36" ht="18">
      <c r="AD286" s="93"/>
      <c r="AE286" s="214"/>
      <c r="AF286" s="93"/>
      <c r="AG286" s="93"/>
      <c r="AH286" s="93"/>
      <c r="AI286" s="93"/>
      <c r="AJ286" s="93"/>
    </row>
    <row r="287" spans="30:36" ht="18">
      <c r="AD287" s="93"/>
      <c r="AE287" s="214"/>
      <c r="AF287" s="93"/>
      <c r="AG287" s="93"/>
      <c r="AH287" s="93"/>
      <c r="AI287" s="93"/>
      <c r="AJ287" s="93"/>
    </row>
    <row r="288" spans="30:36" ht="18">
      <c r="AD288" s="93"/>
      <c r="AE288" s="214"/>
      <c r="AF288" s="93"/>
      <c r="AG288" s="93"/>
      <c r="AH288" s="93"/>
      <c r="AI288" s="93"/>
      <c r="AJ288" s="93"/>
    </row>
    <row r="289" spans="30:36" ht="18">
      <c r="AD289" s="93"/>
      <c r="AE289" s="214"/>
      <c r="AF289" s="93"/>
      <c r="AG289" s="93"/>
      <c r="AH289" s="93"/>
      <c r="AI289" s="93"/>
      <c r="AJ289" s="93"/>
    </row>
    <row r="290" spans="30:36" ht="18">
      <c r="AD290" s="93"/>
      <c r="AE290" s="214"/>
      <c r="AF290" s="93"/>
      <c r="AG290" s="93"/>
      <c r="AH290" s="93"/>
      <c r="AI290" s="93"/>
      <c r="AJ290" s="93"/>
    </row>
    <row r="291" spans="30:36" ht="18">
      <c r="AD291" s="93"/>
      <c r="AE291" s="214"/>
      <c r="AF291" s="93"/>
      <c r="AG291" s="93"/>
      <c r="AH291" s="93"/>
      <c r="AI291" s="93"/>
      <c r="AJ291" s="93"/>
    </row>
    <row r="292" spans="30:36" ht="18">
      <c r="AD292" s="93"/>
      <c r="AE292" s="214"/>
      <c r="AF292" s="93"/>
      <c r="AG292" s="93"/>
      <c r="AH292" s="93"/>
      <c r="AI292" s="93"/>
      <c r="AJ292" s="93"/>
    </row>
    <row r="293" spans="30:36" ht="18">
      <c r="AD293" s="93"/>
      <c r="AE293" s="214"/>
      <c r="AF293" s="93"/>
      <c r="AG293" s="93"/>
      <c r="AH293" s="93"/>
      <c r="AI293" s="93"/>
      <c r="AJ293" s="93"/>
    </row>
    <row r="294" spans="30:36" ht="18">
      <c r="AD294" s="93"/>
      <c r="AE294" s="214"/>
      <c r="AF294" s="93"/>
      <c r="AG294" s="93"/>
      <c r="AH294" s="93"/>
      <c r="AI294" s="93"/>
      <c r="AJ294" s="93"/>
    </row>
    <row r="295" spans="30:36" ht="18">
      <c r="AD295" s="93"/>
      <c r="AE295" s="214"/>
      <c r="AF295" s="93"/>
      <c r="AG295" s="93"/>
      <c r="AH295" s="93"/>
      <c r="AI295" s="93"/>
      <c r="AJ295" s="93"/>
    </row>
    <row r="296" spans="30:36" ht="18">
      <c r="AD296" s="93"/>
      <c r="AE296" s="214"/>
      <c r="AF296" s="93"/>
      <c r="AG296" s="93"/>
      <c r="AH296" s="93"/>
      <c r="AI296" s="93"/>
      <c r="AJ296" s="93"/>
    </row>
    <row r="297" spans="30:36" ht="18">
      <c r="AD297" s="93"/>
      <c r="AE297" s="214"/>
      <c r="AF297" s="93"/>
      <c r="AG297" s="93"/>
      <c r="AH297" s="93"/>
      <c r="AI297" s="93"/>
      <c r="AJ297" s="93"/>
    </row>
    <row r="298" spans="30:36" ht="18">
      <c r="AD298" s="93"/>
      <c r="AE298" s="214"/>
      <c r="AF298" s="93"/>
      <c r="AG298" s="93"/>
      <c r="AH298" s="93"/>
      <c r="AI298" s="93"/>
      <c r="AJ298" s="93"/>
    </row>
    <row r="299" spans="30:36" ht="18">
      <c r="AD299" s="93"/>
      <c r="AE299" s="214"/>
      <c r="AF299" s="93"/>
      <c r="AG299" s="93"/>
      <c r="AH299" s="93"/>
      <c r="AI299" s="93"/>
      <c r="AJ299" s="93"/>
    </row>
    <row r="300" spans="30:36" ht="18">
      <c r="AD300" s="93"/>
      <c r="AE300" s="214"/>
      <c r="AF300" s="93"/>
      <c r="AG300" s="93"/>
      <c r="AH300" s="93"/>
      <c r="AI300" s="93"/>
      <c r="AJ300" s="93"/>
    </row>
    <row r="301" spans="30:36" ht="18">
      <c r="AD301" s="93"/>
      <c r="AE301" s="214"/>
      <c r="AF301" s="93"/>
      <c r="AG301" s="93"/>
      <c r="AH301" s="93"/>
      <c r="AI301" s="93"/>
      <c r="AJ301" s="93"/>
    </row>
    <row r="302" spans="30:36" ht="18">
      <c r="AD302" s="93"/>
      <c r="AE302" s="214"/>
      <c r="AF302" s="93"/>
      <c r="AG302" s="93"/>
      <c r="AH302" s="93"/>
      <c r="AI302" s="93"/>
      <c r="AJ302" s="93"/>
    </row>
    <row r="303" spans="30:36" ht="18">
      <c r="AD303" s="93"/>
      <c r="AE303" s="214"/>
      <c r="AF303" s="93"/>
      <c r="AG303" s="93"/>
      <c r="AH303" s="93"/>
      <c r="AI303" s="93"/>
      <c r="AJ303" s="93"/>
    </row>
    <row r="304" spans="30:36" ht="18">
      <c r="AD304" s="93"/>
      <c r="AE304" s="214"/>
      <c r="AF304" s="93"/>
      <c r="AG304" s="93"/>
      <c r="AH304" s="93"/>
      <c r="AI304" s="93"/>
      <c r="AJ304" s="93"/>
    </row>
    <row r="305" spans="30:36" ht="18">
      <c r="AD305" s="93"/>
      <c r="AE305" s="214"/>
      <c r="AF305" s="93"/>
      <c r="AG305" s="93"/>
      <c r="AH305" s="93"/>
      <c r="AI305" s="93"/>
      <c r="AJ305" s="93"/>
    </row>
    <row r="306" spans="30:36" ht="18">
      <c r="AD306" s="93"/>
      <c r="AE306" s="214"/>
      <c r="AF306" s="93"/>
      <c r="AG306" s="93"/>
      <c r="AH306" s="93"/>
      <c r="AI306" s="93"/>
      <c r="AJ306" s="93"/>
    </row>
    <row r="307" spans="30:36" ht="18">
      <c r="AD307" s="93"/>
      <c r="AE307" s="214"/>
      <c r="AF307" s="93"/>
      <c r="AG307" s="93"/>
      <c r="AH307" s="93"/>
      <c r="AI307" s="93"/>
      <c r="AJ307" s="93"/>
    </row>
    <row r="308" spans="30:36" ht="18">
      <c r="AD308" s="93"/>
      <c r="AE308" s="214"/>
      <c r="AF308" s="93"/>
      <c r="AG308" s="93"/>
      <c r="AH308" s="93"/>
      <c r="AI308" s="93"/>
      <c r="AJ308" s="93"/>
    </row>
    <row r="309" spans="30:36" ht="18">
      <c r="AD309" s="93"/>
      <c r="AE309" s="214"/>
      <c r="AF309" s="93"/>
      <c r="AG309" s="93"/>
      <c r="AH309" s="93"/>
      <c r="AI309" s="93"/>
      <c r="AJ309" s="93"/>
    </row>
    <row r="310" spans="30:36" ht="18">
      <c r="AD310" s="93"/>
      <c r="AE310" s="214"/>
      <c r="AF310" s="93"/>
      <c r="AG310" s="93"/>
      <c r="AH310" s="93"/>
      <c r="AI310" s="93"/>
      <c r="AJ310" s="93"/>
    </row>
    <row r="311" spans="30:36" ht="18">
      <c r="AD311" s="93"/>
      <c r="AE311" s="214"/>
      <c r="AF311" s="93"/>
      <c r="AG311" s="93"/>
      <c r="AH311" s="93"/>
      <c r="AI311" s="93"/>
      <c r="AJ311" s="93"/>
    </row>
    <row r="312" spans="30:36" ht="18">
      <c r="AD312" s="93"/>
      <c r="AE312" s="214"/>
      <c r="AF312" s="93"/>
      <c r="AG312" s="93"/>
      <c r="AH312" s="93"/>
      <c r="AI312" s="93"/>
      <c r="AJ312" s="93"/>
    </row>
    <row r="313" spans="30:36" ht="18">
      <c r="AD313" s="93"/>
      <c r="AE313" s="214"/>
      <c r="AF313" s="93"/>
      <c r="AG313" s="93"/>
      <c r="AH313" s="93"/>
      <c r="AI313" s="93"/>
      <c r="AJ313" s="93"/>
    </row>
    <row r="314" spans="30:36" ht="18">
      <c r="AD314" s="93"/>
      <c r="AE314" s="214"/>
      <c r="AF314" s="93"/>
      <c r="AG314" s="93"/>
      <c r="AH314" s="93"/>
      <c r="AI314" s="93"/>
      <c r="AJ314" s="93"/>
    </row>
    <row r="315" spans="30:36" ht="18">
      <c r="AD315" s="93"/>
      <c r="AE315" s="214"/>
      <c r="AF315" s="93"/>
      <c r="AG315" s="93"/>
      <c r="AH315" s="93"/>
      <c r="AI315" s="93"/>
      <c r="AJ315" s="93"/>
    </row>
    <row r="316" spans="30:36" ht="18">
      <c r="AD316" s="93"/>
      <c r="AE316" s="214"/>
      <c r="AF316" s="93"/>
      <c r="AG316" s="93"/>
      <c r="AH316" s="93"/>
      <c r="AI316" s="93"/>
      <c r="AJ316" s="93"/>
    </row>
    <row r="317" spans="30:36" ht="18">
      <c r="AD317" s="93"/>
      <c r="AE317" s="214"/>
      <c r="AF317" s="93"/>
      <c r="AG317" s="93"/>
      <c r="AH317" s="93"/>
      <c r="AI317" s="93"/>
      <c r="AJ317" s="93"/>
    </row>
    <row r="318" spans="30:36" ht="18">
      <c r="AD318" s="93"/>
      <c r="AE318" s="214"/>
      <c r="AF318" s="93"/>
      <c r="AG318" s="93"/>
      <c r="AH318" s="93"/>
      <c r="AI318" s="93"/>
      <c r="AJ318" s="93"/>
    </row>
    <row r="319" spans="30:36" ht="18">
      <c r="AD319" s="93"/>
      <c r="AE319" s="214"/>
      <c r="AF319" s="93"/>
      <c r="AG319" s="93"/>
      <c r="AH319" s="93"/>
      <c r="AI319" s="93"/>
      <c r="AJ319" s="93"/>
    </row>
    <row r="320" spans="30:36" ht="18">
      <c r="AD320" s="93"/>
      <c r="AE320" s="214"/>
      <c r="AF320" s="93"/>
      <c r="AG320" s="93"/>
      <c r="AH320" s="93"/>
      <c r="AI320" s="93"/>
      <c r="AJ320" s="93"/>
    </row>
    <row r="321" spans="30:36" ht="18">
      <c r="AD321" s="93"/>
      <c r="AE321" s="214"/>
      <c r="AF321" s="93"/>
      <c r="AG321" s="93"/>
      <c r="AH321" s="93"/>
      <c r="AI321" s="93"/>
      <c r="AJ321" s="93"/>
    </row>
    <row r="322" spans="30:36" ht="18">
      <c r="AD322" s="93"/>
      <c r="AE322" s="214"/>
      <c r="AF322" s="93"/>
      <c r="AG322" s="93"/>
      <c r="AH322" s="93"/>
      <c r="AI322" s="93"/>
      <c r="AJ322" s="93"/>
    </row>
    <row r="323" spans="30:36" ht="18">
      <c r="AD323" s="93"/>
      <c r="AE323" s="214"/>
      <c r="AF323" s="93"/>
      <c r="AG323" s="93"/>
      <c r="AH323" s="93"/>
      <c r="AI323" s="93"/>
      <c r="AJ323" s="93"/>
    </row>
    <row r="324" spans="30:36" ht="18">
      <c r="AD324" s="93"/>
      <c r="AE324" s="214"/>
      <c r="AF324" s="93"/>
      <c r="AG324" s="93"/>
      <c r="AH324" s="93"/>
      <c r="AI324" s="93"/>
      <c r="AJ324" s="93"/>
    </row>
    <row r="325" spans="30:36" ht="18">
      <c r="AD325" s="93"/>
      <c r="AE325" s="214"/>
      <c r="AF325" s="93"/>
      <c r="AG325" s="93"/>
      <c r="AH325" s="93"/>
      <c r="AI325" s="93"/>
      <c r="AJ325" s="93"/>
    </row>
    <row r="326" spans="30:36" ht="18">
      <c r="AD326" s="93"/>
      <c r="AE326" s="214"/>
      <c r="AF326" s="93"/>
      <c r="AG326" s="93"/>
      <c r="AH326" s="93"/>
      <c r="AI326" s="93"/>
      <c r="AJ326" s="93"/>
    </row>
    <row r="327" spans="30:36" ht="18">
      <c r="AD327" s="93"/>
      <c r="AE327" s="214"/>
      <c r="AF327" s="93"/>
      <c r="AG327" s="93"/>
      <c r="AH327" s="93"/>
      <c r="AI327" s="93"/>
      <c r="AJ327" s="93"/>
    </row>
    <row r="328" spans="30:36" ht="18">
      <c r="AD328" s="93"/>
      <c r="AE328" s="214"/>
      <c r="AF328" s="93"/>
      <c r="AG328" s="93"/>
      <c r="AH328" s="93"/>
      <c r="AI328" s="93"/>
      <c r="AJ328" s="93"/>
    </row>
    <row r="329" spans="30:36" ht="18">
      <c r="AD329" s="93"/>
      <c r="AE329" s="214"/>
      <c r="AF329" s="93"/>
      <c r="AG329" s="93"/>
      <c r="AH329" s="93"/>
      <c r="AI329" s="93"/>
      <c r="AJ329" s="93"/>
    </row>
    <row r="330" spans="30:36" ht="18">
      <c r="AD330" s="93"/>
      <c r="AE330" s="214"/>
      <c r="AF330" s="93"/>
      <c r="AG330" s="93"/>
      <c r="AH330" s="93"/>
      <c r="AI330" s="93"/>
      <c r="AJ330" s="93"/>
    </row>
    <row r="331" spans="30:36" ht="18">
      <c r="AD331" s="93"/>
      <c r="AE331" s="214"/>
      <c r="AF331" s="93"/>
      <c r="AG331" s="93"/>
      <c r="AH331" s="93"/>
      <c r="AI331" s="93"/>
      <c r="AJ331" s="93"/>
    </row>
    <row r="332" spans="30:36" ht="18">
      <c r="AD332" s="93"/>
      <c r="AE332" s="214"/>
      <c r="AF332" s="93"/>
      <c r="AG332" s="93"/>
      <c r="AH332" s="93"/>
      <c r="AI332" s="93"/>
      <c r="AJ332" s="93"/>
    </row>
    <row r="333" spans="30:36" ht="18">
      <c r="AD333" s="93"/>
      <c r="AE333" s="214"/>
      <c r="AF333" s="93"/>
      <c r="AG333" s="93"/>
      <c r="AH333" s="93"/>
      <c r="AI333" s="93"/>
      <c r="AJ333" s="93"/>
    </row>
    <row r="334" spans="30:36" ht="18">
      <c r="AD334" s="93"/>
      <c r="AE334" s="214"/>
      <c r="AF334" s="93"/>
      <c r="AG334" s="93"/>
      <c r="AH334" s="93"/>
      <c r="AI334" s="93"/>
      <c r="AJ334" s="93"/>
    </row>
    <row r="335" spans="30:36" ht="18">
      <c r="AD335" s="93"/>
      <c r="AE335" s="214"/>
      <c r="AF335" s="93"/>
      <c r="AG335" s="93"/>
      <c r="AH335" s="93"/>
      <c r="AI335" s="93"/>
      <c r="AJ335" s="93"/>
    </row>
    <row r="336" spans="30:36" ht="18">
      <c r="AD336" s="93"/>
      <c r="AE336" s="214"/>
      <c r="AF336" s="93"/>
      <c r="AG336" s="93"/>
      <c r="AH336" s="93"/>
      <c r="AI336" s="93"/>
      <c r="AJ336" s="93"/>
    </row>
    <row r="337" spans="30:36" ht="18">
      <c r="AD337" s="93"/>
      <c r="AE337" s="214"/>
      <c r="AF337" s="93"/>
      <c r="AG337" s="93"/>
      <c r="AH337" s="93"/>
      <c r="AI337" s="93"/>
      <c r="AJ337" s="93"/>
    </row>
    <row r="338" spans="30:36" ht="18">
      <c r="AD338" s="93"/>
      <c r="AE338" s="214"/>
      <c r="AF338" s="93"/>
      <c r="AG338" s="93"/>
      <c r="AH338" s="93"/>
      <c r="AI338" s="93"/>
      <c r="AJ338" s="93"/>
    </row>
    <row r="339" spans="30:36" ht="18">
      <c r="AD339" s="93"/>
      <c r="AE339" s="215"/>
      <c r="AF339" s="93"/>
      <c r="AG339" s="93"/>
      <c r="AH339" s="93"/>
      <c r="AI339" s="93"/>
      <c r="AJ339" s="93"/>
    </row>
    <row r="340" spans="30:36" ht="18">
      <c r="AD340" s="93"/>
      <c r="AE340" s="214"/>
      <c r="AF340" s="93"/>
      <c r="AG340" s="93"/>
      <c r="AH340" s="93"/>
      <c r="AI340" s="93"/>
      <c r="AJ340" s="93"/>
    </row>
    <row r="341" spans="30:36" ht="18">
      <c r="AD341" s="93"/>
      <c r="AE341" s="214"/>
      <c r="AF341" s="93"/>
      <c r="AG341" s="93"/>
      <c r="AH341" s="93"/>
      <c r="AI341" s="93"/>
      <c r="AJ341" s="93"/>
    </row>
    <row r="342" spans="30:36" ht="18">
      <c r="AD342" s="93"/>
      <c r="AE342" s="214"/>
      <c r="AF342" s="93"/>
      <c r="AG342" s="93"/>
      <c r="AH342" s="93"/>
      <c r="AI342" s="93"/>
      <c r="AJ342" s="93"/>
    </row>
    <row r="343" spans="30:36" ht="18">
      <c r="AD343" s="93"/>
      <c r="AE343" s="214"/>
      <c r="AF343" s="93"/>
      <c r="AG343" s="93"/>
      <c r="AH343" s="93"/>
      <c r="AI343" s="93"/>
      <c r="AJ343" s="93"/>
    </row>
    <row r="344" spans="30:36" ht="18">
      <c r="AD344" s="93"/>
      <c r="AE344" s="215"/>
      <c r="AF344" s="93"/>
      <c r="AG344" s="93"/>
      <c r="AH344" s="93"/>
      <c r="AI344" s="93"/>
      <c r="AJ344" s="93"/>
    </row>
    <row r="345" spans="30:36" ht="18">
      <c r="AD345" s="93"/>
      <c r="AE345" s="215"/>
      <c r="AF345" s="93"/>
      <c r="AG345" s="93"/>
      <c r="AH345" s="93"/>
      <c r="AI345" s="93"/>
      <c r="AJ345" s="93"/>
    </row>
    <row r="346" spans="30:36" ht="18">
      <c r="AD346" s="93"/>
      <c r="AE346" s="214"/>
      <c r="AF346" s="93"/>
      <c r="AG346" s="93"/>
      <c r="AH346" s="93"/>
      <c r="AI346" s="93"/>
      <c r="AJ346" s="93"/>
    </row>
    <row r="347" spans="30:36" ht="18">
      <c r="AD347" s="93"/>
      <c r="AE347" s="214"/>
      <c r="AF347" s="93"/>
      <c r="AG347" s="93"/>
      <c r="AH347" s="93"/>
      <c r="AI347" s="93"/>
      <c r="AJ347" s="93"/>
    </row>
    <row r="348" spans="30:36" ht="18">
      <c r="AD348" s="93"/>
      <c r="AE348" s="214"/>
      <c r="AF348" s="93"/>
      <c r="AG348" s="93"/>
      <c r="AH348" s="93"/>
      <c r="AI348" s="93"/>
      <c r="AJ348" s="93"/>
    </row>
    <row r="349" spans="30:36" ht="18">
      <c r="AD349" s="93"/>
      <c r="AE349" s="214"/>
      <c r="AF349" s="93"/>
      <c r="AG349" s="93"/>
      <c r="AH349" s="93"/>
      <c r="AI349" s="93"/>
      <c r="AJ349" s="93"/>
    </row>
    <row r="350" spans="30:36" ht="18">
      <c r="AD350" s="93"/>
      <c r="AE350" s="214"/>
      <c r="AF350" s="93"/>
      <c r="AG350" s="93"/>
      <c r="AH350" s="93"/>
      <c r="AI350" s="93"/>
      <c r="AJ350" s="93"/>
    </row>
    <row r="351" spans="30:36" ht="18">
      <c r="AD351" s="93"/>
      <c r="AE351" s="214"/>
      <c r="AF351" s="93"/>
      <c r="AG351" s="93"/>
      <c r="AH351" s="93"/>
      <c r="AI351" s="93"/>
      <c r="AJ351" s="93"/>
    </row>
    <row r="352" spans="30:36" ht="18">
      <c r="AD352" s="93"/>
      <c r="AE352" s="214"/>
      <c r="AF352" s="93"/>
      <c r="AG352" s="93"/>
      <c r="AH352" s="93"/>
      <c r="AI352" s="93"/>
      <c r="AJ352" s="93"/>
    </row>
    <row r="353" spans="30:36" ht="18">
      <c r="AD353" s="93"/>
      <c r="AE353" s="214"/>
      <c r="AF353" s="93"/>
      <c r="AG353" s="93"/>
      <c r="AH353" s="93"/>
      <c r="AI353" s="93"/>
      <c r="AJ353" s="93"/>
    </row>
    <row r="354" spans="30:36" ht="18">
      <c r="AD354" s="93"/>
      <c r="AE354" s="215"/>
      <c r="AF354" s="93"/>
      <c r="AG354" s="93"/>
      <c r="AH354" s="93"/>
      <c r="AI354" s="93"/>
      <c r="AJ354" s="93"/>
    </row>
    <row r="355" spans="30:36" ht="18">
      <c r="AD355" s="93"/>
      <c r="AE355" s="215"/>
      <c r="AF355" s="93"/>
      <c r="AG355" s="93"/>
      <c r="AH355" s="93"/>
      <c r="AI355" s="93"/>
      <c r="AJ355" s="93"/>
    </row>
    <row r="356" spans="30:36" ht="18">
      <c r="AD356" s="93"/>
      <c r="AE356" s="215"/>
      <c r="AF356" s="93"/>
      <c r="AG356" s="93"/>
      <c r="AH356" s="93"/>
      <c r="AI356" s="93"/>
      <c r="AJ356" s="93"/>
    </row>
    <row r="357" spans="30:36" ht="18">
      <c r="AD357" s="93"/>
      <c r="AE357" s="214"/>
      <c r="AF357" s="93"/>
      <c r="AG357" s="93"/>
      <c r="AH357" s="93"/>
      <c r="AI357" s="93"/>
      <c r="AJ357" s="93"/>
    </row>
    <row r="358" spans="30:36" ht="18">
      <c r="AD358" s="93"/>
      <c r="AE358" s="214"/>
      <c r="AF358" s="93"/>
      <c r="AG358" s="93"/>
      <c r="AH358" s="93"/>
      <c r="AI358" s="93"/>
      <c r="AJ358" s="93"/>
    </row>
    <row r="359" spans="30:36" ht="18">
      <c r="AD359" s="93"/>
      <c r="AE359" s="215"/>
      <c r="AF359" s="93"/>
      <c r="AG359" s="93"/>
      <c r="AH359" s="93"/>
      <c r="AI359" s="93"/>
      <c r="AJ359" s="93"/>
    </row>
    <row r="360" spans="30:36" ht="18">
      <c r="AD360" s="93"/>
      <c r="AE360" s="214"/>
      <c r="AF360" s="93"/>
      <c r="AG360" s="93"/>
      <c r="AH360" s="93"/>
      <c r="AI360" s="93"/>
      <c r="AJ360" s="93"/>
    </row>
    <row r="361" spans="30:36" ht="18">
      <c r="AD361" s="93"/>
      <c r="AE361" s="214"/>
      <c r="AF361" s="93"/>
      <c r="AG361" s="93"/>
      <c r="AH361" s="93"/>
      <c r="AI361" s="93"/>
      <c r="AJ361" s="93"/>
    </row>
    <row r="362" spans="30:36" ht="18">
      <c r="AD362" s="93"/>
      <c r="AE362" s="215"/>
      <c r="AF362" s="93"/>
      <c r="AG362" s="93"/>
      <c r="AH362" s="93"/>
      <c r="AI362" s="93"/>
      <c r="AJ362" s="93"/>
    </row>
    <row r="363" spans="30:36" ht="18">
      <c r="AD363" s="93"/>
      <c r="AE363" s="214"/>
      <c r="AF363" s="93"/>
      <c r="AG363" s="93"/>
      <c r="AH363" s="93"/>
      <c r="AI363" s="93"/>
      <c r="AJ363" s="93"/>
    </row>
    <row r="364" spans="30:36" ht="18">
      <c r="AD364" s="93"/>
      <c r="AE364" s="214"/>
      <c r="AF364" s="93"/>
      <c r="AG364" s="93"/>
      <c r="AH364" s="93"/>
      <c r="AI364" s="93"/>
      <c r="AJ364" s="93"/>
    </row>
    <row r="365" spans="30:36" ht="18">
      <c r="AD365" s="93"/>
      <c r="AE365" s="215"/>
      <c r="AF365" s="93"/>
      <c r="AG365" s="93"/>
      <c r="AH365" s="93"/>
      <c r="AI365" s="93"/>
      <c r="AJ365" s="93"/>
    </row>
    <row r="366" spans="30:36" ht="18">
      <c r="AD366" s="93"/>
      <c r="AE366" s="214"/>
      <c r="AF366" s="93"/>
      <c r="AG366" s="93"/>
      <c r="AH366" s="93"/>
      <c r="AI366" s="93"/>
      <c r="AJ366" s="93"/>
    </row>
    <row r="367" spans="30:36" ht="18">
      <c r="AD367" s="93"/>
      <c r="AE367" s="214"/>
      <c r="AF367" s="93"/>
      <c r="AG367" s="93"/>
      <c r="AH367" s="93"/>
      <c r="AI367" s="93"/>
      <c r="AJ367" s="93"/>
    </row>
    <row r="368" spans="30:36" ht="18">
      <c r="AD368" s="93"/>
      <c r="AE368" s="215"/>
      <c r="AF368" s="93"/>
      <c r="AG368" s="93"/>
      <c r="AH368" s="93"/>
      <c r="AI368" s="93"/>
      <c r="AJ368" s="93"/>
    </row>
    <row r="369" spans="30:36" ht="18">
      <c r="AD369" s="93"/>
      <c r="AE369" s="214"/>
      <c r="AF369" s="93"/>
      <c r="AG369" s="93"/>
      <c r="AH369" s="93"/>
      <c r="AI369" s="93"/>
      <c r="AJ369" s="93"/>
    </row>
    <row r="370" spans="30:36" ht="18">
      <c r="AD370" s="93"/>
      <c r="AE370" s="214"/>
      <c r="AF370" s="93"/>
      <c r="AG370" s="93"/>
      <c r="AH370" s="93"/>
      <c r="AI370" s="93"/>
      <c r="AJ370" s="93"/>
    </row>
    <row r="371" spans="30:36" ht="18">
      <c r="AD371" s="93"/>
      <c r="AE371" s="214"/>
      <c r="AF371" s="93"/>
      <c r="AG371" s="93"/>
      <c r="AH371" s="93"/>
      <c r="AI371" s="93"/>
      <c r="AJ371" s="93"/>
    </row>
    <row r="372" spans="30:36" ht="18">
      <c r="AD372" s="93"/>
      <c r="AE372" s="214"/>
      <c r="AF372" s="93"/>
      <c r="AG372" s="93"/>
      <c r="AH372" s="93"/>
      <c r="AI372" s="93"/>
      <c r="AJ372" s="93"/>
    </row>
    <row r="373" spans="30:36" ht="18">
      <c r="AD373" s="93"/>
      <c r="AE373" s="214"/>
      <c r="AF373" s="93"/>
      <c r="AG373" s="93"/>
      <c r="AH373" s="93"/>
      <c r="AI373" s="93"/>
      <c r="AJ373" s="93"/>
    </row>
    <row r="374" spans="30:36" ht="18">
      <c r="AD374" s="93"/>
      <c r="AE374" s="215"/>
      <c r="AF374" s="93"/>
      <c r="AG374" s="93"/>
      <c r="AH374" s="93"/>
      <c r="AI374" s="93"/>
      <c r="AJ374" s="93"/>
    </row>
    <row r="375" spans="30:36" ht="18">
      <c r="AD375" s="93"/>
      <c r="AE375" s="215"/>
      <c r="AF375" s="93"/>
      <c r="AG375" s="93"/>
      <c r="AH375" s="93"/>
      <c r="AI375" s="93"/>
      <c r="AJ375" s="93"/>
    </row>
    <row r="376" spans="30:36" ht="18">
      <c r="AD376" s="93"/>
      <c r="AE376" s="214"/>
      <c r="AF376" s="93"/>
      <c r="AG376" s="93"/>
      <c r="AH376" s="93"/>
      <c r="AI376" s="93"/>
      <c r="AJ376" s="93"/>
    </row>
    <row r="377" spans="30:36" ht="18">
      <c r="AD377" s="93"/>
      <c r="AE377" s="214"/>
      <c r="AF377" s="93"/>
      <c r="AG377" s="93"/>
      <c r="AH377" s="93"/>
      <c r="AI377" s="93"/>
      <c r="AJ377" s="93"/>
    </row>
    <row r="378" spans="30:36" ht="18">
      <c r="AD378" s="93"/>
      <c r="AE378" s="214"/>
      <c r="AF378" s="93"/>
      <c r="AG378" s="93"/>
      <c r="AH378" s="93"/>
      <c r="AI378" s="93"/>
      <c r="AJ378" s="93"/>
    </row>
    <row r="379" spans="30:36" ht="18">
      <c r="AD379" s="93"/>
      <c r="AE379" s="214"/>
      <c r="AF379" s="93"/>
      <c r="AG379" s="93"/>
      <c r="AH379" s="93"/>
      <c r="AI379" s="93"/>
      <c r="AJ379" s="93"/>
    </row>
    <row r="380" spans="30:36" ht="18">
      <c r="AD380" s="93"/>
      <c r="AE380" s="214"/>
      <c r="AF380" s="93"/>
      <c r="AG380" s="93"/>
      <c r="AH380" s="93"/>
      <c r="AI380" s="93"/>
      <c r="AJ380" s="93"/>
    </row>
    <row r="381" spans="30:36" ht="18">
      <c r="AD381" s="93"/>
      <c r="AE381" s="215"/>
      <c r="AF381" s="93"/>
      <c r="AG381" s="93"/>
      <c r="AH381" s="93"/>
      <c r="AI381" s="93"/>
      <c r="AJ381" s="93"/>
    </row>
    <row r="382" spans="30:36" ht="18">
      <c r="AD382" s="93"/>
      <c r="AE382" s="215"/>
      <c r="AF382" s="93"/>
      <c r="AG382" s="93"/>
      <c r="AH382" s="93"/>
      <c r="AI382" s="93"/>
      <c r="AJ382" s="93"/>
    </row>
    <row r="383" spans="30:36" ht="18">
      <c r="AD383" s="93"/>
      <c r="AE383" s="214"/>
      <c r="AF383" s="93"/>
      <c r="AG383" s="93"/>
      <c r="AH383" s="93"/>
      <c r="AI383" s="93"/>
      <c r="AJ383" s="93"/>
    </row>
    <row r="384" spans="30:36" ht="18">
      <c r="AD384" s="93"/>
      <c r="AE384" s="214"/>
      <c r="AF384" s="93"/>
      <c r="AG384" s="93"/>
      <c r="AH384" s="93"/>
      <c r="AI384" s="93"/>
      <c r="AJ384" s="93"/>
    </row>
    <row r="385" spans="30:36" ht="18">
      <c r="AD385" s="93"/>
      <c r="AE385" s="214"/>
      <c r="AF385" s="93"/>
      <c r="AG385" s="93"/>
      <c r="AH385" s="93"/>
      <c r="AI385" s="93"/>
      <c r="AJ385" s="93"/>
    </row>
    <row r="386" spans="30:36" ht="18">
      <c r="AD386" s="93"/>
      <c r="AE386" s="214"/>
      <c r="AF386" s="93"/>
      <c r="AG386" s="93"/>
      <c r="AH386" s="93"/>
      <c r="AI386" s="93"/>
      <c r="AJ386" s="93"/>
    </row>
    <row r="387" spans="30:36" ht="18">
      <c r="AD387" s="93"/>
      <c r="AE387" s="214"/>
      <c r="AF387" s="93"/>
      <c r="AG387" s="93"/>
      <c r="AH387" s="93"/>
      <c r="AI387" s="93"/>
      <c r="AJ387" s="93"/>
    </row>
    <row r="388" spans="30:36" ht="18">
      <c r="AD388" s="93"/>
      <c r="AE388" s="214"/>
      <c r="AF388" s="93"/>
      <c r="AG388" s="93"/>
      <c r="AH388" s="93"/>
      <c r="AI388" s="93"/>
      <c r="AJ388" s="93"/>
    </row>
    <row r="389" spans="30:36" ht="18">
      <c r="AD389" s="93"/>
      <c r="AE389" s="214"/>
      <c r="AF389" s="93"/>
      <c r="AG389" s="93"/>
      <c r="AH389" s="93"/>
      <c r="AI389" s="93"/>
      <c r="AJ389" s="93"/>
    </row>
    <row r="390" spans="30:36" ht="18">
      <c r="AD390" s="93"/>
      <c r="AE390" s="214"/>
      <c r="AF390" s="93"/>
      <c r="AG390" s="93"/>
      <c r="AH390" s="93"/>
      <c r="AI390" s="93"/>
      <c r="AJ390" s="93"/>
    </row>
    <row r="391" spans="30:36" ht="18">
      <c r="AD391" s="93"/>
      <c r="AE391" s="214"/>
      <c r="AF391" s="93"/>
      <c r="AG391" s="93"/>
      <c r="AH391" s="93"/>
      <c r="AI391" s="93"/>
      <c r="AJ391" s="93"/>
    </row>
    <row r="392" spans="30:36" ht="18">
      <c r="AD392" s="93"/>
      <c r="AE392" s="214"/>
      <c r="AF392" s="93"/>
      <c r="AG392" s="93"/>
      <c r="AH392" s="93"/>
      <c r="AI392" s="93"/>
      <c r="AJ392" s="93"/>
    </row>
    <row r="393" spans="30:36" ht="18">
      <c r="AD393" s="93"/>
      <c r="AE393" s="214"/>
      <c r="AF393" s="93"/>
      <c r="AG393" s="93"/>
      <c r="AH393" s="93"/>
      <c r="AI393" s="93"/>
      <c r="AJ393" s="93"/>
    </row>
    <row r="394" spans="30:36" ht="18">
      <c r="AD394" s="93"/>
      <c r="AE394" s="214"/>
      <c r="AF394" s="93"/>
      <c r="AG394" s="93"/>
      <c r="AH394" s="93"/>
      <c r="AI394" s="93"/>
      <c r="AJ394" s="93"/>
    </row>
    <row r="395" spans="30:36" ht="18">
      <c r="AD395" s="93"/>
      <c r="AE395" s="214"/>
      <c r="AF395" s="93"/>
      <c r="AG395" s="93"/>
      <c r="AH395" s="93"/>
      <c r="AI395" s="93"/>
      <c r="AJ395" s="93"/>
    </row>
    <row r="396" spans="30:36" ht="18">
      <c r="AD396" s="93"/>
      <c r="AE396" s="214"/>
      <c r="AF396" s="93"/>
      <c r="AG396" s="93"/>
      <c r="AH396" s="93"/>
      <c r="AI396" s="93"/>
      <c r="AJ396" s="93"/>
    </row>
    <row r="397" spans="30:36" ht="18">
      <c r="AD397" s="93"/>
      <c r="AE397" s="214"/>
      <c r="AF397" s="93"/>
      <c r="AG397" s="93"/>
      <c r="AH397" s="93"/>
      <c r="AI397" s="93"/>
      <c r="AJ397" s="93"/>
    </row>
    <row r="398" spans="30:36" ht="18">
      <c r="AD398" s="93"/>
      <c r="AE398" s="214"/>
      <c r="AF398" s="93"/>
      <c r="AG398" s="93"/>
      <c r="AH398" s="93"/>
      <c r="AI398" s="93"/>
      <c r="AJ398" s="93"/>
    </row>
    <row r="399" spans="30:36" ht="18">
      <c r="AD399" s="93"/>
      <c r="AE399" s="215"/>
      <c r="AF399" s="93"/>
      <c r="AG399" s="93"/>
      <c r="AH399" s="93"/>
      <c r="AI399" s="93"/>
      <c r="AJ399" s="93"/>
    </row>
    <row r="400" spans="30:36" ht="18">
      <c r="AD400" s="93"/>
      <c r="AE400" s="214"/>
      <c r="AF400" s="93"/>
      <c r="AG400" s="93"/>
      <c r="AH400" s="93"/>
      <c r="AI400" s="93"/>
      <c r="AJ400" s="93"/>
    </row>
    <row r="401" spans="30:36" ht="18">
      <c r="AD401" s="93"/>
      <c r="AE401" s="214"/>
      <c r="AF401" s="93"/>
      <c r="AG401" s="93"/>
      <c r="AH401" s="93"/>
      <c r="AI401" s="93"/>
      <c r="AJ401" s="93"/>
    </row>
    <row r="402" spans="30:36" ht="18">
      <c r="AD402" s="93"/>
      <c r="AE402" s="214"/>
      <c r="AF402" s="93"/>
      <c r="AG402" s="93"/>
      <c r="AH402" s="93"/>
      <c r="AI402" s="93"/>
      <c r="AJ402" s="93"/>
    </row>
    <row r="403" spans="30:36" ht="18">
      <c r="AD403" s="93"/>
      <c r="AE403" s="215"/>
      <c r="AF403" s="93"/>
      <c r="AG403" s="93"/>
      <c r="AH403" s="93"/>
      <c r="AI403" s="93"/>
      <c r="AJ403" s="93"/>
    </row>
    <row r="404" spans="30:36" ht="18">
      <c r="AD404" s="93"/>
      <c r="AE404" s="215"/>
      <c r="AF404" s="93"/>
      <c r="AG404" s="93"/>
      <c r="AH404" s="93"/>
      <c r="AI404" s="93"/>
      <c r="AJ404" s="93"/>
    </row>
    <row r="405" spans="30:36" ht="18">
      <c r="AD405" s="93"/>
      <c r="AE405" s="214"/>
      <c r="AF405" s="93"/>
      <c r="AG405" s="93"/>
      <c r="AH405" s="93"/>
      <c r="AI405" s="93"/>
      <c r="AJ405" s="93"/>
    </row>
    <row r="406" spans="30:36" ht="18">
      <c r="AD406" s="93"/>
      <c r="AE406" s="214"/>
      <c r="AF406" s="93"/>
      <c r="AG406" s="93"/>
      <c r="AH406" s="93"/>
      <c r="AI406" s="93"/>
      <c r="AJ406" s="93"/>
    </row>
    <row r="407" spans="30:36" ht="18">
      <c r="AD407" s="93"/>
      <c r="AE407" s="214"/>
      <c r="AF407" s="93"/>
      <c r="AG407" s="93"/>
      <c r="AH407" s="93"/>
      <c r="AI407" s="93"/>
      <c r="AJ407" s="93"/>
    </row>
    <row r="408" spans="30:36" ht="18">
      <c r="AD408" s="93"/>
      <c r="AE408" s="214"/>
      <c r="AF408" s="93"/>
      <c r="AG408" s="93"/>
      <c r="AH408" s="93"/>
      <c r="AI408" s="93"/>
      <c r="AJ408" s="93"/>
    </row>
    <row r="409" spans="30:36" ht="18">
      <c r="AD409" s="93"/>
      <c r="AE409" s="214"/>
      <c r="AF409" s="93"/>
      <c r="AG409" s="93"/>
      <c r="AH409" s="93"/>
      <c r="AI409" s="93"/>
      <c r="AJ409" s="93"/>
    </row>
    <row r="410" spans="30:36" ht="18">
      <c r="AD410" s="93"/>
      <c r="AE410" s="214"/>
      <c r="AF410" s="93"/>
      <c r="AG410" s="93"/>
      <c r="AH410" s="93"/>
      <c r="AI410" s="93"/>
      <c r="AJ410" s="93"/>
    </row>
    <row r="411" spans="30:36" ht="18">
      <c r="AD411" s="93"/>
      <c r="AE411" s="214"/>
      <c r="AF411" s="93"/>
      <c r="AG411" s="93"/>
      <c r="AH411" s="93"/>
      <c r="AI411" s="93"/>
      <c r="AJ411" s="93"/>
    </row>
    <row r="412" spans="30:36" ht="18">
      <c r="AD412" s="93"/>
      <c r="AE412" s="214"/>
      <c r="AF412" s="93"/>
      <c r="AG412" s="93"/>
      <c r="AH412" s="93"/>
      <c r="AI412" s="93"/>
      <c r="AJ412" s="93"/>
    </row>
    <row r="413" spans="30:36" ht="18">
      <c r="AD413" s="93"/>
      <c r="AE413" s="214"/>
      <c r="AF413" s="93"/>
      <c r="AG413" s="93"/>
      <c r="AH413" s="93"/>
      <c r="AI413" s="93"/>
      <c r="AJ413" s="93"/>
    </row>
    <row r="414" spans="30:36" ht="18">
      <c r="AD414" s="93"/>
      <c r="AE414" s="214"/>
      <c r="AF414" s="93"/>
      <c r="AG414" s="93"/>
      <c r="AH414" s="93"/>
      <c r="AI414" s="93"/>
      <c r="AJ414" s="93"/>
    </row>
    <row r="415" spans="30:36" ht="18">
      <c r="AD415" s="93"/>
      <c r="AE415" s="214"/>
      <c r="AF415" s="93"/>
      <c r="AG415" s="93"/>
      <c r="AH415" s="93"/>
      <c r="AI415" s="93"/>
      <c r="AJ415" s="93"/>
    </row>
    <row r="416" spans="30:36" ht="18">
      <c r="AD416" s="93"/>
      <c r="AE416" s="214"/>
      <c r="AF416" s="93"/>
      <c r="AG416" s="93"/>
      <c r="AH416" s="93"/>
      <c r="AI416" s="93"/>
      <c r="AJ416" s="93"/>
    </row>
    <row r="417" spans="30:36" ht="18">
      <c r="AD417" s="93"/>
      <c r="AE417" s="214"/>
      <c r="AF417" s="93"/>
      <c r="AG417" s="93"/>
      <c r="AH417" s="93"/>
      <c r="AI417" s="93"/>
      <c r="AJ417" s="93"/>
    </row>
    <row r="418" spans="30:36" ht="18">
      <c r="AD418" s="93"/>
      <c r="AE418" s="214"/>
      <c r="AF418" s="93"/>
      <c r="AG418" s="93"/>
      <c r="AH418" s="93"/>
      <c r="AI418" s="93"/>
      <c r="AJ418" s="93"/>
    </row>
    <row r="419" spans="30:36" ht="18">
      <c r="AD419" s="93"/>
      <c r="AE419" s="214"/>
      <c r="AF419" s="93"/>
      <c r="AG419" s="93"/>
      <c r="AH419" s="93"/>
      <c r="AI419" s="93"/>
      <c r="AJ419" s="93"/>
    </row>
    <row r="420" spans="30:36" ht="18">
      <c r="AD420" s="93"/>
      <c r="AE420" s="214"/>
      <c r="AF420" s="93"/>
      <c r="AG420" s="93"/>
      <c r="AH420" s="93"/>
      <c r="AI420" s="93"/>
      <c r="AJ420" s="93"/>
    </row>
    <row r="421" spans="30:36" ht="18">
      <c r="AD421" s="93"/>
      <c r="AE421" s="214"/>
      <c r="AF421" s="93"/>
      <c r="AG421" s="93"/>
      <c r="AH421" s="93"/>
      <c r="AI421" s="93"/>
      <c r="AJ421" s="93"/>
    </row>
    <row r="422" spans="30:36" ht="18">
      <c r="AD422" s="93"/>
      <c r="AE422" s="214"/>
      <c r="AF422" s="93"/>
      <c r="AG422" s="93"/>
      <c r="AH422" s="93"/>
      <c r="AI422" s="93"/>
      <c r="AJ422" s="93"/>
    </row>
    <row r="423" spans="30:36" ht="18">
      <c r="AD423" s="93"/>
      <c r="AE423" s="214"/>
      <c r="AF423" s="93"/>
      <c r="AG423" s="93"/>
      <c r="AH423" s="93"/>
      <c r="AI423" s="93"/>
      <c r="AJ423" s="93"/>
    </row>
    <row r="424" spans="30:36" ht="18">
      <c r="AD424" s="93"/>
      <c r="AE424" s="214"/>
      <c r="AF424" s="93"/>
      <c r="AG424" s="93"/>
      <c r="AH424" s="93"/>
      <c r="AI424" s="93"/>
      <c r="AJ424" s="93"/>
    </row>
    <row r="425" spans="30:36" ht="18">
      <c r="AD425" s="93"/>
      <c r="AE425" s="214"/>
      <c r="AF425" s="93"/>
      <c r="AG425" s="93"/>
      <c r="AH425" s="93"/>
      <c r="AI425" s="93"/>
      <c r="AJ425" s="93"/>
    </row>
    <row r="426" spans="30:36" ht="18">
      <c r="AD426" s="93"/>
      <c r="AE426" s="214"/>
      <c r="AF426" s="93"/>
      <c r="AG426" s="93"/>
      <c r="AH426" s="93"/>
      <c r="AI426" s="93"/>
      <c r="AJ426" s="93"/>
    </row>
    <row r="427" spans="30:36" ht="18">
      <c r="AD427" s="93"/>
      <c r="AE427" s="214"/>
      <c r="AF427" s="93"/>
      <c r="AG427" s="93"/>
      <c r="AH427" s="93"/>
      <c r="AI427" s="93"/>
      <c r="AJ427" s="93"/>
    </row>
    <row r="428" spans="30:36" ht="18">
      <c r="AD428" s="93"/>
      <c r="AE428" s="215"/>
      <c r="AF428" s="93"/>
      <c r="AG428" s="93"/>
      <c r="AH428" s="93"/>
      <c r="AI428" s="93"/>
      <c r="AJ428" s="93"/>
    </row>
    <row r="429" spans="30:36" ht="18">
      <c r="AD429" s="93"/>
      <c r="AE429" s="215"/>
      <c r="AF429" s="93"/>
      <c r="AG429" s="93"/>
      <c r="AH429" s="93"/>
      <c r="AI429" s="93"/>
      <c r="AJ429" s="93"/>
    </row>
    <row r="430" spans="30:36" ht="18">
      <c r="AD430" s="93"/>
      <c r="AE430" s="214"/>
      <c r="AF430" s="93"/>
      <c r="AG430" s="93"/>
      <c r="AH430" s="93"/>
      <c r="AI430" s="93"/>
      <c r="AJ430" s="93"/>
    </row>
    <row r="431" spans="30:36" ht="18">
      <c r="AD431" s="93"/>
      <c r="AE431" s="214"/>
      <c r="AF431" s="93"/>
      <c r="AG431" s="93"/>
      <c r="AH431" s="93"/>
      <c r="AI431" s="93"/>
      <c r="AJ431" s="93"/>
    </row>
    <row r="432" spans="30:36" ht="18">
      <c r="AD432" s="93"/>
      <c r="AE432" s="214"/>
      <c r="AF432" s="93"/>
      <c r="AG432" s="93"/>
      <c r="AH432" s="93"/>
      <c r="AI432" s="93"/>
      <c r="AJ432" s="93"/>
    </row>
    <row r="433" spans="30:36" ht="18">
      <c r="AD433" s="93"/>
      <c r="AE433" s="214"/>
      <c r="AF433" s="93"/>
      <c r="AG433" s="93"/>
      <c r="AH433" s="93"/>
      <c r="AI433" s="93"/>
      <c r="AJ433" s="93"/>
    </row>
    <row r="434" spans="30:36" ht="18">
      <c r="AD434" s="93"/>
      <c r="AE434" s="214"/>
      <c r="AF434" s="93"/>
      <c r="AG434" s="93"/>
      <c r="AH434" s="93"/>
      <c r="AI434" s="93"/>
      <c r="AJ434" s="93"/>
    </row>
    <row r="435" spans="30:36" ht="18">
      <c r="AD435" s="93"/>
      <c r="AE435" s="214"/>
      <c r="AF435" s="93"/>
      <c r="AG435" s="93"/>
      <c r="AH435" s="93"/>
      <c r="AI435" s="93"/>
      <c r="AJ435" s="93"/>
    </row>
    <row r="436" spans="30:36" ht="18">
      <c r="AD436" s="93"/>
      <c r="AE436" s="214"/>
      <c r="AF436" s="93"/>
      <c r="AG436" s="93"/>
      <c r="AH436" s="93"/>
      <c r="AI436" s="93"/>
      <c r="AJ436" s="93"/>
    </row>
    <row r="437" spans="30:36" ht="18">
      <c r="AD437" s="93"/>
      <c r="AE437" s="214"/>
      <c r="AF437" s="93"/>
      <c r="AG437" s="93"/>
      <c r="AH437" s="93"/>
      <c r="AI437" s="93"/>
      <c r="AJ437" s="93"/>
    </row>
    <row r="438" spans="30:36" ht="18">
      <c r="AD438" s="93"/>
      <c r="AE438" s="214"/>
      <c r="AF438" s="93"/>
      <c r="AG438" s="93"/>
      <c r="AH438" s="93"/>
      <c r="AI438" s="93"/>
      <c r="AJ438" s="93"/>
    </row>
    <row r="439" spans="30:36" ht="18">
      <c r="AD439" s="93"/>
      <c r="AE439" s="214"/>
      <c r="AF439" s="93"/>
      <c r="AG439" s="93"/>
      <c r="AH439" s="93"/>
      <c r="AI439" s="93"/>
      <c r="AJ439" s="93"/>
    </row>
    <row r="440" spans="30:36" ht="18">
      <c r="AD440" s="93"/>
      <c r="AE440" s="214"/>
      <c r="AF440" s="93"/>
      <c r="AG440" s="93"/>
      <c r="AH440" s="93"/>
      <c r="AI440" s="93"/>
      <c r="AJ440" s="93"/>
    </row>
    <row r="441" spans="30:36" ht="18">
      <c r="AD441" s="93"/>
      <c r="AE441" s="214"/>
      <c r="AF441" s="93"/>
      <c r="AG441" s="93"/>
      <c r="AH441" s="93"/>
      <c r="AI441" s="93"/>
      <c r="AJ441" s="93"/>
    </row>
    <row r="442" spans="30:36" ht="18">
      <c r="AD442" s="93"/>
      <c r="AE442" s="215"/>
      <c r="AF442" s="93"/>
      <c r="AG442" s="93"/>
      <c r="AH442" s="93"/>
      <c r="AI442" s="93"/>
      <c r="AJ442" s="93"/>
    </row>
    <row r="443" spans="30:36" ht="18">
      <c r="AD443" s="93"/>
      <c r="AE443" s="214"/>
      <c r="AF443" s="93"/>
      <c r="AG443" s="93"/>
      <c r="AH443" s="93"/>
      <c r="AI443" s="93"/>
      <c r="AJ443" s="93"/>
    </row>
    <row r="444" spans="30:36" ht="18">
      <c r="AD444" s="93"/>
      <c r="AE444" s="214"/>
      <c r="AF444" s="93"/>
      <c r="AG444" s="93"/>
      <c r="AH444" s="93"/>
      <c r="AI444" s="93"/>
      <c r="AJ444" s="93"/>
    </row>
    <row r="445" spans="30:36" ht="18">
      <c r="AD445" s="93"/>
      <c r="AE445" s="214"/>
      <c r="AF445" s="93"/>
      <c r="AG445" s="93"/>
      <c r="AH445" s="93"/>
      <c r="AI445" s="93"/>
      <c r="AJ445" s="93"/>
    </row>
    <row r="446" spans="30:36" ht="18">
      <c r="AD446" s="93"/>
      <c r="AE446" s="214"/>
      <c r="AF446" s="93"/>
      <c r="AG446" s="93"/>
      <c r="AH446" s="93"/>
      <c r="AI446" s="93"/>
      <c r="AJ446" s="93"/>
    </row>
    <row r="447" spans="30:36" ht="18">
      <c r="AD447" s="93"/>
      <c r="AE447" s="214"/>
      <c r="AF447" s="93"/>
      <c r="AG447" s="93"/>
      <c r="AH447" s="93"/>
      <c r="AI447" s="93"/>
      <c r="AJ447" s="93"/>
    </row>
    <row r="448" spans="30:36" ht="18">
      <c r="AD448" s="93"/>
      <c r="AE448" s="214"/>
      <c r="AF448" s="93"/>
      <c r="AG448" s="93"/>
      <c r="AH448" s="93"/>
      <c r="AI448" s="93"/>
      <c r="AJ448" s="93"/>
    </row>
    <row r="449" spans="30:36" ht="18">
      <c r="AD449" s="93"/>
      <c r="AE449" s="214"/>
      <c r="AF449" s="93"/>
      <c r="AG449" s="93"/>
      <c r="AH449" s="93"/>
      <c r="AI449" s="93"/>
      <c r="AJ449" s="93"/>
    </row>
    <row r="450" spans="30:36" ht="18">
      <c r="AD450" s="93"/>
      <c r="AE450" s="214"/>
      <c r="AF450" s="93"/>
      <c r="AG450" s="93"/>
      <c r="AH450" s="93"/>
      <c r="AI450" s="93"/>
      <c r="AJ450" s="93"/>
    </row>
    <row r="451" spans="30:36" ht="18">
      <c r="AD451" s="93"/>
      <c r="AE451" s="214"/>
      <c r="AF451" s="93"/>
      <c r="AG451" s="93"/>
      <c r="AH451" s="93"/>
      <c r="AI451" s="93"/>
      <c r="AJ451" s="93"/>
    </row>
    <row r="452" spans="30:36" ht="18">
      <c r="AD452" s="93"/>
      <c r="AE452" s="214"/>
      <c r="AF452" s="93"/>
      <c r="AG452" s="93"/>
      <c r="AH452" s="93"/>
      <c r="AI452" s="93"/>
      <c r="AJ452" s="93"/>
    </row>
    <row r="453" spans="30:36" ht="18">
      <c r="AD453" s="93"/>
      <c r="AE453" s="214"/>
      <c r="AF453" s="93"/>
      <c r="AG453" s="93"/>
      <c r="AH453" s="93"/>
      <c r="AI453" s="93"/>
      <c r="AJ453" s="93"/>
    </row>
    <row r="454" spans="30:36" ht="18">
      <c r="AD454" s="93"/>
      <c r="AE454" s="214"/>
      <c r="AF454" s="93"/>
      <c r="AG454" s="93"/>
      <c r="AH454" s="93"/>
      <c r="AI454" s="93"/>
      <c r="AJ454" s="93"/>
    </row>
    <row r="455" spans="30:36" ht="18">
      <c r="AD455" s="93"/>
      <c r="AE455" s="214"/>
      <c r="AF455" s="93"/>
      <c r="AG455" s="93"/>
      <c r="AH455" s="93"/>
      <c r="AI455" s="93"/>
      <c r="AJ455" s="93"/>
    </row>
    <row r="456" spans="30:36" ht="18">
      <c r="AD456" s="93"/>
      <c r="AE456" s="214"/>
      <c r="AF456" s="93"/>
      <c r="AG456" s="93"/>
      <c r="AH456" s="93"/>
      <c r="AI456" s="93"/>
      <c r="AJ456" s="93"/>
    </row>
    <row r="457" spans="30:36" ht="18">
      <c r="AD457" s="93"/>
      <c r="AE457" s="214"/>
      <c r="AF457" s="93"/>
      <c r="AG457" s="93"/>
      <c r="AH457" s="93"/>
      <c r="AI457" s="93"/>
      <c r="AJ457" s="93"/>
    </row>
    <row r="458" spans="30:36" ht="18">
      <c r="AD458" s="93"/>
      <c r="AE458" s="215"/>
      <c r="AF458" s="93"/>
      <c r="AG458" s="93"/>
      <c r="AH458" s="93"/>
      <c r="AI458" s="93"/>
      <c r="AJ458" s="93"/>
    </row>
    <row r="459" spans="30:36" ht="18">
      <c r="AD459" s="93"/>
      <c r="AE459" s="214"/>
      <c r="AF459" s="93"/>
      <c r="AG459" s="93"/>
      <c r="AH459" s="93"/>
      <c r="AI459" s="93"/>
      <c r="AJ459" s="93"/>
    </row>
    <row r="460" spans="30:36" ht="18">
      <c r="AD460" s="93"/>
      <c r="AE460" s="214"/>
      <c r="AF460" s="93"/>
      <c r="AG460" s="93"/>
      <c r="AH460" s="93"/>
      <c r="AI460" s="93"/>
      <c r="AJ460" s="93"/>
    </row>
    <row r="461" spans="30:36" ht="18">
      <c r="AD461" s="93"/>
      <c r="AE461" s="215"/>
      <c r="AF461" s="93"/>
      <c r="AG461" s="93"/>
      <c r="AH461" s="93"/>
      <c r="AI461" s="93"/>
      <c r="AJ461" s="93"/>
    </row>
    <row r="462" spans="30:36" ht="18">
      <c r="AD462" s="93"/>
      <c r="AE462" s="214"/>
      <c r="AF462" s="93"/>
      <c r="AG462" s="93"/>
      <c r="AH462" s="93"/>
      <c r="AI462" s="93"/>
      <c r="AJ462" s="93"/>
    </row>
    <row r="463" spans="30:36" ht="18">
      <c r="AD463" s="93"/>
      <c r="AE463" s="214"/>
      <c r="AF463" s="93"/>
      <c r="AG463" s="93"/>
      <c r="AH463" s="93"/>
      <c r="AI463" s="93"/>
      <c r="AJ463" s="93"/>
    </row>
    <row r="464" spans="30:36" ht="18">
      <c r="AD464" s="93"/>
      <c r="AE464" s="214"/>
      <c r="AF464" s="93"/>
      <c r="AG464" s="93"/>
      <c r="AH464" s="93"/>
      <c r="AI464" s="93"/>
      <c r="AJ464" s="93"/>
    </row>
    <row r="465" spans="30:36" ht="18">
      <c r="AD465" s="93"/>
      <c r="AE465" s="214"/>
      <c r="AF465" s="93"/>
      <c r="AG465" s="93"/>
      <c r="AH465" s="93"/>
      <c r="AI465" s="93"/>
      <c r="AJ465" s="93"/>
    </row>
    <row r="466" spans="30:36" ht="18">
      <c r="AD466" s="93"/>
      <c r="AE466" s="214"/>
      <c r="AF466" s="93"/>
      <c r="AG466" s="93"/>
      <c r="AH466" s="93"/>
      <c r="AI466" s="93"/>
      <c r="AJ466" s="93"/>
    </row>
    <row r="467" spans="30:36" ht="18">
      <c r="AD467" s="93"/>
      <c r="AE467" s="214"/>
      <c r="AF467" s="93"/>
      <c r="AG467" s="93"/>
      <c r="AH467" s="93"/>
      <c r="AI467" s="93"/>
      <c r="AJ467" s="93"/>
    </row>
    <row r="468" spans="30:36" ht="18">
      <c r="AD468" s="93"/>
      <c r="AE468" s="215"/>
      <c r="AF468" s="93"/>
      <c r="AG468" s="93"/>
      <c r="AH468" s="93"/>
      <c r="AI468" s="93"/>
      <c r="AJ468" s="93"/>
    </row>
    <row r="469" spans="30:36" ht="18">
      <c r="AD469" s="93"/>
      <c r="AE469" s="214"/>
      <c r="AF469" s="93"/>
      <c r="AG469" s="93"/>
      <c r="AH469" s="93"/>
      <c r="AI469" s="93"/>
      <c r="AJ469" s="93"/>
    </row>
    <row r="470" spans="30:36" ht="18">
      <c r="AD470" s="93"/>
      <c r="AE470" s="214"/>
      <c r="AF470" s="93"/>
      <c r="AG470" s="93"/>
      <c r="AH470" s="93"/>
      <c r="AI470" s="93"/>
      <c r="AJ470" s="93"/>
    </row>
    <row r="471" spans="30:36" ht="18">
      <c r="AD471" s="93"/>
      <c r="AE471" s="214"/>
      <c r="AF471" s="93"/>
      <c r="AG471" s="93"/>
      <c r="AH471" s="93"/>
      <c r="AI471" s="93"/>
      <c r="AJ471" s="93"/>
    </row>
    <row r="472" spans="30:36" ht="18">
      <c r="AD472" s="93"/>
      <c r="AE472" s="214"/>
      <c r="AF472" s="93"/>
      <c r="AG472" s="93"/>
      <c r="AH472" s="93"/>
      <c r="AI472" s="93"/>
      <c r="AJ472" s="93"/>
    </row>
    <row r="473" spans="30:36" ht="18">
      <c r="AD473" s="93"/>
      <c r="AE473" s="214"/>
      <c r="AF473" s="93"/>
      <c r="AG473" s="93"/>
      <c r="AH473" s="93"/>
      <c r="AI473" s="93"/>
      <c r="AJ473" s="93"/>
    </row>
    <row r="474" spans="30:36" ht="18">
      <c r="AD474" s="93"/>
      <c r="AE474" s="214"/>
      <c r="AF474" s="93"/>
      <c r="AG474" s="93"/>
      <c r="AH474" s="93"/>
      <c r="AI474" s="93"/>
      <c r="AJ474" s="93"/>
    </row>
    <row r="475" spans="30:36" ht="18">
      <c r="AD475" s="93"/>
      <c r="AE475" s="215"/>
      <c r="AF475" s="93"/>
      <c r="AG475" s="93"/>
      <c r="AH475" s="93"/>
      <c r="AI475" s="93"/>
      <c r="AJ475" s="93"/>
    </row>
    <row r="476" spans="30:36" ht="18">
      <c r="AD476" s="93"/>
      <c r="AE476" s="214"/>
      <c r="AF476" s="93"/>
      <c r="AG476" s="93"/>
      <c r="AH476" s="93"/>
      <c r="AI476" s="93"/>
      <c r="AJ476" s="93"/>
    </row>
    <row r="477" spans="30:36" ht="18">
      <c r="AD477" s="93"/>
      <c r="AE477" s="214"/>
      <c r="AF477" s="93"/>
      <c r="AG477" s="93"/>
      <c r="AH477" s="93"/>
      <c r="AI477" s="93"/>
      <c r="AJ477" s="93"/>
    </row>
    <row r="478" spans="30:36" ht="18">
      <c r="AD478" s="93"/>
      <c r="AE478" s="214"/>
      <c r="AF478" s="93"/>
      <c r="AG478" s="93"/>
      <c r="AH478" s="93"/>
      <c r="AI478" s="93"/>
      <c r="AJ478" s="93"/>
    </row>
    <row r="479" spans="30:36" ht="18">
      <c r="AD479" s="93"/>
      <c r="AE479" s="214"/>
      <c r="AF479" s="93"/>
      <c r="AG479" s="93"/>
      <c r="AH479" s="93"/>
      <c r="AI479" s="93"/>
      <c r="AJ479" s="93"/>
    </row>
    <row r="480" spans="30:36" ht="18">
      <c r="AD480" s="93"/>
      <c r="AE480" s="214"/>
      <c r="AF480" s="93"/>
      <c r="AG480" s="93"/>
      <c r="AH480" s="93"/>
      <c r="AI480" s="93"/>
      <c r="AJ480" s="93"/>
    </row>
    <row r="481" spans="30:36" ht="18">
      <c r="AD481" s="93"/>
      <c r="AE481" s="214"/>
      <c r="AF481" s="93"/>
      <c r="AG481" s="93"/>
      <c r="AH481" s="93"/>
      <c r="AI481" s="93"/>
      <c r="AJ481" s="93"/>
    </row>
    <row r="482" spans="30:36" ht="18">
      <c r="AD482" s="93"/>
      <c r="AE482" s="214"/>
      <c r="AF482" s="93"/>
      <c r="AG482" s="93"/>
      <c r="AH482" s="93"/>
      <c r="AI482" s="93"/>
      <c r="AJ482" s="93"/>
    </row>
    <row r="483" spans="30:36" ht="18">
      <c r="AD483" s="93"/>
      <c r="AE483" s="215"/>
      <c r="AF483" s="93"/>
      <c r="AG483" s="93"/>
      <c r="AH483" s="93"/>
      <c r="AI483" s="93"/>
      <c r="AJ483" s="93"/>
    </row>
    <row r="484" spans="30:36" ht="18">
      <c r="AD484" s="93"/>
      <c r="AE484" s="215"/>
      <c r="AF484" s="93"/>
      <c r="AG484" s="93"/>
      <c r="AH484" s="93"/>
      <c r="AI484" s="93"/>
      <c r="AJ484" s="93"/>
    </row>
    <row r="485" spans="30:36" ht="18">
      <c r="AD485" s="93"/>
      <c r="AE485" s="214"/>
      <c r="AF485" s="93"/>
      <c r="AG485" s="93"/>
      <c r="AH485" s="93"/>
      <c r="AI485" s="93"/>
      <c r="AJ485" s="93"/>
    </row>
    <row r="486" spans="30:36" ht="18">
      <c r="AD486" s="93"/>
      <c r="AE486" s="214"/>
      <c r="AF486" s="93"/>
      <c r="AG486" s="93"/>
      <c r="AH486" s="93"/>
      <c r="AI486" s="93"/>
      <c r="AJ486" s="93"/>
    </row>
    <row r="487" spans="30:36" ht="18">
      <c r="AD487" s="93"/>
      <c r="AE487" s="214"/>
      <c r="AF487" s="93"/>
      <c r="AG487" s="93"/>
      <c r="AH487" s="93"/>
      <c r="AI487" s="93"/>
      <c r="AJ487" s="93"/>
    </row>
    <row r="488" spans="30:36" ht="18">
      <c r="AD488" s="93"/>
      <c r="AE488" s="214"/>
      <c r="AF488" s="93"/>
      <c r="AG488" s="93"/>
      <c r="AH488" s="93"/>
      <c r="AI488" s="93"/>
      <c r="AJ488" s="93"/>
    </row>
    <row r="489" spans="30:36" ht="18">
      <c r="AD489" s="93"/>
      <c r="AE489" s="214"/>
      <c r="AF489" s="93"/>
      <c r="AG489" s="93"/>
      <c r="AH489" s="93"/>
      <c r="AI489" s="93"/>
      <c r="AJ489" s="93"/>
    </row>
    <row r="490" spans="30:36" ht="18">
      <c r="AD490" s="93"/>
      <c r="AE490" s="214"/>
      <c r="AF490" s="93"/>
      <c r="AG490" s="93"/>
      <c r="AH490" s="93"/>
      <c r="AI490" s="93"/>
      <c r="AJ490" s="93"/>
    </row>
    <row r="491" spans="30:36" ht="18">
      <c r="AD491" s="93"/>
      <c r="AE491" s="214"/>
      <c r="AF491" s="93"/>
      <c r="AG491" s="93"/>
      <c r="AH491" s="93"/>
      <c r="AI491" s="93"/>
      <c r="AJ491" s="93"/>
    </row>
    <row r="492" spans="30:36" ht="18">
      <c r="AD492" s="93"/>
      <c r="AE492" s="214"/>
      <c r="AF492" s="93"/>
      <c r="AG492" s="93"/>
      <c r="AH492" s="93"/>
      <c r="AI492" s="93"/>
      <c r="AJ492" s="93"/>
    </row>
    <row r="493" spans="30:36" ht="18">
      <c r="AD493" s="93"/>
      <c r="AE493" s="214"/>
      <c r="AF493" s="93"/>
      <c r="AG493" s="93"/>
      <c r="AH493" s="93"/>
      <c r="AI493" s="93"/>
      <c r="AJ493" s="93"/>
    </row>
    <row r="494" spans="30:36" ht="18">
      <c r="AD494" s="93"/>
      <c r="AE494" s="215"/>
      <c r="AF494" s="93"/>
      <c r="AG494" s="93"/>
      <c r="AH494" s="93"/>
      <c r="AI494" s="93"/>
      <c r="AJ494" s="93"/>
    </row>
    <row r="495" spans="30:36" ht="18">
      <c r="AD495" s="93"/>
      <c r="AE495" s="214"/>
      <c r="AF495" s="93"/>
      <c r="AG495" s="93"/>
      <c r="AH495" s="93"/>
      <c r="AI495" s="93"/>
      <c r="AJ495" s="93"/>
    </row>
    <row r="496" spans="30:36" ht="18">
      <c r="AD496" s="93"/>
      <c r="AE496" s="214"/>
      <c r="AF496" s="93"/>
      <c r="AG496" s="93"/>
      <c r="AH496" s="93"/>
      <c r="AI496" s="93"/>
      <c r="AJ496" s="93"/>
    </row>
    <row r="497" spans="30:36" ht="18">
      <c r="AD497" s="93"/>
      <c r="AE497" s="214"/>
      <c r="AF497" s="93"/>
      <c r="AG497" s="93"/>
      <c r="AH497" s="93"/>
      <c r="AI497" s="93"/>
      <c r="AJ497" s="93"/>
    </row>
    <row r="498" spans="30:36" ht="18">
      <c r="AD498" s="93"/>
      <c r="AE498" s="215"/>
      <c r="AF498" s="93"/>
      <c r="AG498" s="93"/>
      <c r="AH498" s="93"/>
      <c r="AI498" s="93"/>
      <c r="AJ498" s="93"/>
    </row>
    <row r="499" spans="30:36" ht="18">
      <c r="AD499" s="93"/>
      <c r="AE499" s="214"/>
      <c r="AF499" s="93"/>
      <c r="AG499" s="93"/>
      <c r="AH499" s="93"/>
      <c r="AI499" s="93"/>
      <c r="AJ499" s="93"/>
    </row>
    <row r="500" spans="30:36" ht="18">
      <c r="AD500" s="93"/>
      <c r="AE500" s="214"/>
      <c r="AF500" s="93"/>
      <c r="AG500" s="93"/>
      <c r="AH500" s="93"/>
      <c r="AI500" s="93"/>
      <c r="AJ500" s="93"/>
    </row>
    <row r="501" spans="30:36" ht="18">
      <c r="AD501" s="93"/>
      <c r="AE501" s="214"/>
      <c r="AF501" s="93"/>
      <c r="AG501" s="93"/>
      <c r="AH501" s="93"/>
      <c r="AI501" s="93"/>
      <c r="AJ501" s="93"/>
    </row>
    <row r="502" spans="30:36" ht="18">
      <c r="AD502" s="93"/>
      <c r="AE502" s="214"/>
      <c r="AF502" s="93"/>
      <c r="AG502" s="93"/>
      <c r="AH502" s="93"/>
      <c r="AI502" s="93"/>
      <c r="AJ502" s="93"/>
    </row>
    <row r="503" spans="30:36" ht="18">
      <c r="AD503" s="93"/>
      <c r="AE503" s="214"/>
      <c r="AF503" s="93"/>
      <c r="AG503" s="93"/>
      <c r="AH503" s="93"/>
      <c r="AI503" s="93"/>
      <c r="AJ503" s="93"/>
    </row>
    <row r="504" spans="30:36" ht="18">
      <c r="AD504" s="93"/>
      <c r="AE504" s="214"/>
      <c r="AF504" s="93"/>
      <c r="AG504" s="93"/>
      <c r="AH504" s="93"/>
      <c r="AI504" s="93"/>
      <c r="AJ504" s="93"/>
    </row>
    <row r="505" spans="30:36" ht="18">
      <c r="AD505" s="93"/>
      <c r="AE505" s="214"/>
      <c r="AF505" s="93"/>
      <c r="AG505" s="93"/>
      <c r="AH505" s="93"/>
      <c r="AI505" s="93"/>
      <c r="AJ505" s="93"/>
    </row>
    <row r="506" spans="30:36" ht="18">
      <c r="AD506" s="93"/>
      <c r="AE506" s="214"/>
      <c r="AF506" s="93"/>
      <c r="AG506" s="93"/>
      <c r="AH506" s="93"/>
      <c r="AI506" s="93"/>
      <c r="AJ506" s="93"/>
    </row>
    <row r="507" spans="30:36" ht="18">
      <c r="AD507" s="93"/>
      <c r="AE507" s="214"/>
      <c r="AF507" s="93"/>
      <c r="AG507" s="93"/>
      <c r="AH507" s="93"/>
      <c r="AI507" s="93"/>
      <c r="AJ507" s="93"/>
    </row>
    <row r="508" spans="30:36" ht="18">
      <c r="AD508" s="93"/>
      <c r="AE508" s="214"/>
      <c r="AF508" s="93"/>
      <c r="AG508" s="93"/>
      <c r="AH508" s="93"/>
      <c r="AI508" s="93"/>
      <c r="AJ508" s="93"/>
    </row>
    <row r="509" spans="30:36" ht="18">
      <c r="AD509" s="93"/>
      <c r="AE509" s="215"/>
      <c r="AF509" s="93"/>
      <c r="AG509" s="93"/>
      <c r="AH509" s="93"/>
      <c r="AI509" s="93"/>
      <c r="AJ509" s="93"/>
    </row>
    <row r="510" spans="30:36" ht="18">
      <c r="AD510" s="93"/>
      <c r="AE510" s="214"/>
      <c r="AF510" s="93"/>
      <c r="AG510" s="93"/>
      <c r="AH510" s="93"/>
      <c r="AI510" s="93"/>
      <c r="AJ510" s="93"/>
    </row>
    <row r="511" spans="30:36" ht="18">
      <c r="AD511" s="93"/>
      <c r="AE511" s="214"/>
      <c r="AF511" s="93"/>
      <c r="AG511" s="93"/>
      <c r="AH511" s="93"/>
      <c r="AI511" s="93"/>
      <c r="AJ511" s="93"/>
    </row>
    <row r="512" spans="30:36" ht="18">
      <c r="AD512" s="93"/>
      <c r="AE512" s="214"/>
      <c r="AF512" s="93"/>
      <c r="AG512" s="93"/>
      <c r="AH512" s="93"/>
      <c r="AI512" s="93"/>
      <c r="AJ512" s="93"/>
    </row>
    <row r="513" spans="30:36" ht="18">
      <c r="AD513" s="93"/>
      <c r="AE513" s="214"/>
      <c r="AF513" s="93"/>
      <c r="AG513" s="93"/>
      <c r="AH513" s="93"/>
      <c r="AI513" s="93"/>
      <c r="AJ513" s="93"/>
    </row>
    <row r="514" spans="30:36" ht="18">
      <c r="AD514" s="93"/>
      <c r="AE514" s="214"/>
      <c r="AF514" s="93"/>
      <c r="AG514" s="93"/>
      <c r="AH514" s="93"/>
      <c r="AI514" s="93"/>
      <c r="AJ514" s="93"/>
    </row>
    <row r="515" spans="30:36" ht="18">
      <c r="AD515" s="93"/>
      <c r="AE515" s="214"/>
      <c r="AF515" s="93"/>
      <c r="AG515" s="93"/>
      <c r="AH515" s="93"/>
      <c r="AI515" s="93"/>
      <c r="AJ515" s="93"/>
    </row>
    <row r="516" spans="30:36" ht="18">
      <c r="AD516" s="93"/>
      <c r="AE516" s="215"/>
      <c r="AF516" s="93"/>
      <c r="AG516" s="93"/>
      <c r="AH516" s="93"/>
      <c r="AI516" s="93"/>
      <c r="AJ516" s="93"/>
    </row>
    <row r="517" spans="30:36" ht="18">
      <c r="AD517" s="93"/>
      <c r="AE517" s="215"/>
      <c r="AF517" s="93"/>
      <c r="AG517" s="93"/>
      <c r="AH517" s="93"/>
      <c r="AI517" s="93"/>
      <c r="AJ517" s="93"/>
    </row>
    <row r="518" spans="30:36" ht="18">
      <c r="AD518" s="93"/>
      <c r="AE518" s="214"/>
      <c r="AF518" s="93"/>
      <c r="AG518" s="93"/>
      <c r="AH518" s="93"/>
      <c r="AI518" s="93"/>
      <c r="AJ518" s="93"/>
    </row>
    <row r="519" spans="30:36" ht="18">
      <c r="AD519" s="93"/>
      <c r="AE519" s="214"/>
      <c r="AF519" s="93"/>
      <c r="AG519" s="93"/>
      <c r="AH519" s="93"/>
      <c r="AI519" s="93"/>
      <c r="AJ519" s="93"/>
    </row>
    <row r="520" spans="30:36" ht="18">
      <c r="AD520" s="93"/>
      <c r="AE520" s="214"/>
      <c r="AF520" s="93"/>
      <c r="AG520" s="93"/>
      <c r="AH520" s="93"/>
      <c r="AI520" s="93"/>
      <c r="AJ520" s="93"/>
    </row>
    <row r="521" spans="30:36" ht="18">
      <c r="AD521" s="93"/>
      <c r="AE521" s="214"/>
      <c r="AF521" s="93"/>
      <c r="AG521" s="93"/>
      <c r="AH521" s="93"/>
      <c r="AI521" s="93"/>
      <c r="AJ521" s="93"/>
    </row>
    <row r="522" spans="30:36" ht="18">
      <c r="AD522" s="93"/>
      <c r="AE522" s="214"/>
      <c r="AF522" s="93"/>
      <c r="AG522" s="93"/>
      <c r="AH522" s="93"/>
      <c r="AI522" s="93"/>
      <c r="AJ522" s="93"/>
    </row>
    <row r="523" spans="30:36" ht="18">
      <c r="AD523" s="93"/>
      <c r="AE523" s="214"/>
      <c r="AF523" s="93"/>
      <c r="AG523" s="93"/>
      <c r="AH523" s="93"/>
      <c r="AI523" s="93"/>
      <c r="AJ523" s="93"/>
    </row>
    <row r="524" spans="30:36" ht="18">
      <c r="AD524" s="93"/>
      <c r="AE524" s="214"/>
      <c r="AF524" s="93"/>
      <c r="AG524" s="93"/>
      <c r="AH524" s="93"/>
      <c r="AI524" s="93"/>
      <c r="AJ524" s="93"/>
    </row>
    <row r="525" spans="30:36" ht="18">
      <c r="AD525" s="93"/>
      <c r="AE525" s="215"/>
      <c r="AF525" s="93"/>
      <c r="AG525" s="93"/>
      <c r="AH525" s="93"/>
      <c r="AI525" s="93"/>
      <c r="AJ525" s="93"/>
    </row>
    <row r="526" spans="30:36" ht="18">
      <c r="AD526" s="93"/>
      <c r="AE526" s="215"/>
      <c r="AF526" s="93"/>
      <c r="AG526" s="93"/>
      <c r="AH526" s="93"/>
      <c r="AI526" s="93"/>
      <c r="AJ526" s="93"/>
    </row>
    <row r="527" spans="30:36" ht="18">
      <c r="AD527" s="93"/>
      <c r="AE527" s="214"/>
      <c r="AF527" s="93"/>
      <c r="AG527" s="93"/>
      <c r="AH527" s="93"/>
      <c r="AI527" s="93"/>
      <c r="AJ527" s="93"/>
    </row>
    <row r="528" spans="30:36" ht="18">
      <c r="AD528" s="93"/>
      <c r="AE528" s="214"/>
      <c r="AF528" s="93"/>
      <c r="AG528" s="93"/>
      <c r="AH528" s="93"/>
      <c r="AI528" s="93"/>
      <c r="AJ528" s="93"/>
    </row>
    <row r="529" spans="30:36" ht="18">
      <c r="AD529" s="93"/>
      <c r="AE529" s="214"/>
      <c r="AF529" s="93"/>
      <c r="AG529" s="93"/>
      <c r="AH529" s="93"/>
      <c r="AI529" s="93"/>
      <c r="AJ529" s="93"/>
    </row>
    <row r="530" spans="30:36" ht="18">
      <c r="AD530" s="93"/>
      <c r="AE530" s="214"/>
      <c r="AF530" s="93"/>
      <c r="AG530" s="93"/>
      <c r="AH530" s="93"/>
      <c r="AI530" s="93"/>
      <c r="AJ530" s="93"/>
    </row>
    <row r="531" spans="30:36" ht="18">
      <c r="AD531" s="93"/>
      <c r="AE531" s="214"/>
      <c r="AF531" s="93"/>
      <c r="AG531" s="93"/>
      <c r="AH531" s="93"/>
      <c r="AI531" s="93"/>
      <c r="AJ531" s="93"/>
    </row>
    <row r="532" spans="30:36" ht="18">
      <c r="AD532" s="93"/>
      <c r="AE532" s="214"/>
      <c r="AF532" s="93"/>
      <c r="AG532" s="93"/>
      <c r="AH532" s="93"/>
      <c r="AI532" s="93"/>
      <c r="AJ532" s="93"/>
    </row>
    <row r="533" spans="30:36" ht="18">
      <c r="AD533" s="93"/>
      <c r="AE533" s="214"/>
      <c r="AF533" s="93"/>
      <c r="AG533" s="93"/>
      <c r="AH533" s="93"/>
      <c r="AI533" s="93"/>
      <c r="AJ533" s="93"/>
    </row>
    <row r="534" spans="30:36" ht="18">
      <c r="AD534" s="93"/>
      <c r="AE534" s="214"/>
      <c r="AF534" s="93"/>
      <c r="AG534" s="93"/>
      <c r="AH534" s="93"/>
      <c r="AI534" s="93"/>
      <c r="AJ534" s="93"/>
    </row>
    <row r="535" spans="30:36" ht="18">
      <c r="AD535" s="93"/>
      <c r="AE535" s="215"/>
      <c r="AF535" s="93"/>
      <c r="AG535" s="93"/>
      <c r="AH535" s="93"/>
      <c r="AI535" s="93"/>
      <c r="AJ535" s="93"/>
    </row>
    <row r="536" spans="30:36" ht="18">
      <c r="AD536" s="93"/>
      <c r="AE536" s="215"/>
      <c r="AF536" s="93"/>
      <c r="AG536" s="93"/>
      <c r="AH536" s="93"/>
      <c r="AI536" s="93"/>
      <c r="AJ536" s="93"/>
    </row>
    <row r="537" spans="30:36" ht="18">
      <c r="AD537" s="93"/>
      <c r="AE537" s="214"/>
      <c r="AF537" s="93"/>
      <c r="AG537" s="93"/>
      <c r="AH537" s="93"/>
      <c r="AI537" s="93"/>
      <c r="AJ537" s="93"/>
    </row>
    <row r="538" spans="30:36" ht="18">
      <c r="AD538" s="93"/>
      <c r="AE538" s="214"/>
      <c r="AF538" s="93"/>
      <c r="AG538" s="93"/>
      <c r="AH538" s="93"/>
      <c r="AI538" s="93"/>
      <c r="AJ538" s="93"/>
    </row>
    <row r="539" spans="30:36" ht="18">
      <c r="AD539" s="93"/>
      <c r="AE539" s="214"/>
      <c r="AF539" s="93"/>
      <c r="AG539" s="93"/>
      <c r="AH539" s="93"/>
      <c r="AI539" s="93"/>
      <c r="AJ539" s="93"/>
    </row>
    <row r="540" spans="30:36" ht="18">
      <c r="AD540" s="93"/>
      <c r="AE540" s="215"/>
      <c r="AF540" s="93"/>
      <c r="AG540" s="93"/>
      <c r="AH540" s="93"/>
      <c r="AI540" s="93"/>
      <c r="AJ540" s="93"/>
    </row>
    <row r="541" spans="30:36" ht="18">
      <c r="AD541" s="93"/>
      <c r="AE541" s="215"/>
      <c r="AF541" s="93"/>
      <c r="AG541" s="93"/>
      <c r="AH541" s="93"/>
      <c r="AI541" s="93"/>
      <c r="AJ541" s="93"/>
    </row>
    <row r="542" spans="30:36" ht="18">
      <c r="AD542" s="93"/>
      <c r="AE542" s="214"/>
      <c r="AF542" s="93"/>
      <c r="AG542" s="93"/>
      <c r="AH542" s="93"/>
      <c r="AI542" s="93"/>
      <c r="AJ542" s="93"/>
    </row>
    <row r="543" spans="30:36" ht="18">
      <c r="AD543" s="93"/>
      <c r="AE543" s="214"/>
      <c r="AF543" s="93"/>
      <c r="AG543" s="93"/>
      <c r="AH543" s="93"/>
      <c r="AI543" s="93"/>
      <c r="AJ543" s="93"/>
    </row>
    <row r="544" spans="30:36" ht="18">
      <c r="AD544" s="93"/>
      <c r="AE544" s="214"/>
      <c r="AF544" s="93"/>
      <c r="AG544" s="93"/>
      <c r="AH544" s="93"/>
      <c r="AI544" s="93"/>
      <c r="AJ544" s="93"/>
    </row>
    <row r="545" spans="30:36" ht="18">
      <c r="AD545" s="93"/>
      <c r="AE545" s="214"/>
      <c r="AF545" s="93"/>
      <c r="AG545" s="93"/>
      <c r="AH545" s="93"/>
      <c r="AI545" s="93"/>
      <c r="AJ545" s="93"/>
    </row>
    <row r="546" spans="30:36" ht="18">
      <c r="AD546" s="93"/>
      <c r="AE546" s="215"/>
      <c r="AF546" s="93"/>
      <c r="AG546" s="93"/>
      <c r="AH546" s="93"/>
      <c r="AI546" s="93"/>
      <c r="AJ546" s="93"/>
    </row>
    <row r="547" spans="30:36" ht="18">
      <c r="AD547" s="93"/>
      <c r="AE547" s="214"/>
      <c r="AF547" s="93"/>
      <c r="AG547" s="93"/>
      <c r="AH547" s="93"/>
      <c r="AI547" s="93"/>
      <c r="AJ547" s="93"/>
    </row>
    <row r="548" spans="30:36" ht="18">
      <c r="AD548" s="93"/>
      <c r="AE548" s="214"/>
      <c r="AF548" s="93"/>
      <c r="AG548" s="93"/>
      <c r="AH548" s="93"/>
      <c r="AI548" s="93"/>
      <c r="AJ548" s="93"/>
    </row>
    <row r="549" spans="30:36" ht="18">
      <c r="AD549" s="93"/>
      <c r="AE549" s="214"/>
      <c r="AF549" s="93"/>
      <c r="AG549" s="93"/>
      <c r="AH549" s="93"/>
      <c r="AI549" s="93"/>
      <c r="AJ549" s="93"/>
    </row>
    <row r="550" spans="30:36" ht="18">
      <c r="AD550" s="93"/>
      <c r="AE550" s="214"/>
      <c r="AF550" s="93"/>
      <c r="AG550" s="93"/>
      <c r="AH550" s="93"/>
      <c r="AI550" s="93"/>
      <c r="AJ550" s="93"/>
    </row>
    <row r="551" spans="30:36" ht="18">
      <c r="AD551" s="93"/>
      <c r="AE551" s="214"/>
      <c r="AF551" s="93"/>
      <c r="AG551" s="93"/>
      <c r="AH551" s="93"/>
      <c r="AI551" s="93"/>
      <c r="AJ551" s="93"/>
    </row>
    <row r="552" spans="30:36" ht="18">
      <c r="AD552" s="93"/>
      <c r="AE552" s="214"/>
      <c r="AF552" s="93"/>
      <c r="AG552" s="93"/>
      <c r="AH552" s="93"/>
      <c r="AI552" s="93"/>
      <c r="AJ552" s="93"/>
    </row>
    <row r="553" spans="30:36" ht="18">
      <c r="AD553" s="93"/>
      <c r="AE553" s="214"/>
      <c r="AF553" s="93"/>
      <c r="AG553" s="93"/>
      <c r="AH553" s="93"/>
      <c r="AI553" s="93"/>
      <c r="AJ553" s="93"/>
    </row>
    <row r="554" spans="30:36" ht="18">
      <c r="AD554" s="93"/>
      <c r="AE554" s="214"/>
      <c r="AF554" s="93"/>
      <c r="AG554" s="93"/>
      <c r="AH554" s="93"/>
      <c r="AI554" s="93"/>
      <c r="AJ554" s="93"/>
    </row>
    <row r="555" spans="30:36" ht="18">
      <c r="AD555" s="93"/>
      <c r="AE555" s="214"/>
      <c r="AF555" s="93"/>
      <c r="AG555" s="93"/>
      <c r="AH555" s="93"/>
      <c r="AI555" s="93"/>
      <c r="AJ555" s="93"/>
    </row>
    <row r="556" spans="30:36" ht="18">
      <c r="AD556" s="93"/>
      <c r="AE556" s="214"/>
      <c r="AF556" s="93"/>
      <c r="AG556" s="93"/>
      <c r="AH556" s="93"/>
      <c r="AI556" s="93"/>
      <c r="AJ556" s="93"/>
    </row>
    <row r="557" spans="30:36" ht="18">
      <c r="AD557" s="93"/>
      <c r="AE557" s="214"/>
      <c r="AF557" s="93"/>
      <c r="AG557" s="93"/>
      <c r="AH557" s="93"/>
      <c r="AI557" s="93"/>
      <c r="AJ557" s="93"/>
    </row>
    <row r="558" spans="30:36" ht="18">
      <c r="AD558" s="93"/>
      <c r="AE558" s="214"/>
      <c r="AF558" s="93"/>
      <c r="AG558" s="93"/>
      <c r="AH558" s="93"/>
      <c r="AI558" s="93"/>
      <c r="AJ558" s="93"/>
    </row>
    <row r="559" spans="30:36" ht="18">
      <c r="AD559" s="93"/>
      <c r="AE559" s="215"/>
      <c r="AF559" s="93"/>
      <c r="AG559" s="93"/>
      <c r="AH559" s="93"/>
      <c r="AI559" s="93"/>
      <c r="AJ559" s="93"/>
    </row>
    <row r="560" spans="30:36" ht="18">
      <c r="AD560" s="93"/>
      <c r="AE560" s="215"/>
      <c r="AF560" s="93"/>
      <c r="AG560" s="93"/>
      <c r="AH560" s="93"/>
      <c r="AI560" s="93"/>
      <c r="AJ560" s="93"/>
    </row>
    <row r="561" spans="30:36" ht="18">
      <c r="AD561" s="93"/>
      <c r="AE561" s="214"/>
      <c r="AF561" s="93"/>
      <c r="AG561" s="93"/>
      <c r="AH561" s="93"/>
      <c r="AI561" s="93"/>
      <c r="AJ561" s="93"/>
    </row>
    <row r="562" spans="30:36" ht="18">
      <c r="AD562" s="93"/>
      <c r="AE562" s="214"/>
      <c r="AF562" s="93"/>
      <c r="AG562" s="93"/>
      <c r="AH562" s="93"/>
      <c r="AI562" s="93"/>
      <c r="AJ562" s="93"/>
    </row>
    <row r="563" spans="30:36" ht="18">
      <c r="AD563" s="93"/>
      <c r="AE563" s="214"/>
      <c r="AF563" s="93"/>
      <c r="AG563" s="93"/>
      <c r="AH563" s="93"/>
      <c r="AI563" s="93"/>
      <c r="AJ563" s="93"/>
    </row>
    <row r="564" spans="30:36" ht="18">
      <c r="AD564" s="93"/>
      <c r="AE564" s="215"/>
      <c r="AF564" s="93"/>
      <c r="AG564" s="93"/>
      <c r="AH564" s="93"/>
      <c r="AI564" s="93"/>
      <c r="AJ564" s="93"/>
    </row>
    <row r="565" spans="30:36" ht="18">
      <c r="AD565" s="93"/>
      <c r="AE565" s="215"/>
      <c r="AF565" s="93"/>
      <c r="AG565" s="93"/>
      <c r="AH565" s="93"/>
      <c r="AI565" s="93"/>
      <c r="AJ565" s="93"/>
    </row>
    <row r="566" spans="30:36" ht="18">
      <c r="AD566" s="93"/>
      <c r="AE566" s="214"/>
      <c r="AF566" s="93"/>
      <c r="AG566" s="93"/>
      <c r="AH566" s="93"/>
      <c r="AI566" s="93"/>
      <c r="AJ566" s="93"/>
    </row>
    <row r="567" spans="30:36" ht="18">
      <c r="AD567" s="93"/>
      <c r="AE567" s="214"/>
      <c r="AF567" s="93"/>
      <c r="AG567" s="93"/>
      <c r="AH567" s="93"/>
      <c r="AI567" s="93"/>
      <c r="AJ567" s="93"/>
    </row>
    <row r="568" spans="30:36" ht="18">
      <c r="AD568" s="93"/>
      <c r="AE568" s="214"/>
      <c r="AF568" s="93"/>
      <c r="AG568" s="93"/>
      <c r="AH568" s="93"/>
      <c r="AI568" s="93"/>
      <c r="AJ568" s="93"/>
    </row>
    <row r="569" spans="30:36" ht="18">
      <c r="AD569" s="93"/>
      <c r="AE569" s="214"/>
      <c r="AF569" s="93"/>
      <c r="AG569" s="93"/>
      <c r="AH569" s="93"/>
      <c r="AI569" s="93"/>
      <c r="AJ569" s="93"/>
    </row>
    <row r="570" spans="30:36" ht="18">
      <c r="AD570" s="93"/>
      <c r="AE570" s="214"/>
      <c r="AF570" s="93"/>
      <c r="AG570" s="93"/>
      <c r="AH570" s="93"/>
      <c r="AI570" s="93"/>
      <c r="AJ570" s="93"/>
    </row>
    <row r="571" spans="30:36" ht="18">
      <c r="AD571" s="93"/>
      <c r="AE571" s="214"/>
      <c r="AF571" s="93"/>
      <c r="AG571" s="93"/>
      <c r="AH571" s="93"/>
      <c r="AI571" s="93"/>
      <c r="AJ571" s="93"/>
    </row>
    <row r="572" spans="30:36" ht="18">
      <c r="AD572" s="93"/>
      <c r="AE572" s="215"/>
      <c r="AF572" s="93"/>
      <c r="AG572" s="93"/>
      <c r="AH572" s="93"/>
      <c r="AI572" s="93"/>
      <c r="AJ572" s="93"/>
    </row>
    <row r="573" spans="30:36" ht="18">
      <c r="AD573" s="93"/>
      <c r="AE573" s="215"/>
      <c r="AF573" s="93"/>
      <c r="AG573" s="93"/>
      <c r="AH573" s="93"/>
      <c r="AI573" s="93"/>
      <c r="AJ573" s="93"/>
    </row>
    <row r="574" spans="30:36" ht="18">
      <c r="AD574" s="93"/>
      <c r="AE574" s="214"/>
      <c r="AF574" s="93"/>
      <c r="AG574" s="93"/>
      <c r="AH574" s="93"/>
      <c r="AI574" s="93"/>
      <c r="AJ574" s="93"/>
    </row>
    <row r="575" spans="30:36" ht="18">
      <c r="AD575" s="93"/>
      <c r="AE575" s="214"/>
      <c r="AF575" s="93"/>
      <c r="AG575" s="93"/>
      <c r="AH575" s="93"/>
      <c r="AI575" s="93"/>
      <c r="AJ575" s="93"/>
    </row>
    <row r="576" spans="30:36" ht="18">
      <c r="AD576" s="93"/>
      <c r="AE576" s="214"/>
      <c r="AF576" s="93"/>
      <c r="AG576" s="93"/>
      <c r="AH576" s="93"/>
      <c r="AI576" s="93"/>
      <c r="AJ576" s="93"/>
    </row>
    <row r="577" spans="30:36" ht="18">
      <c r="AD577" s="93"/>
      <c r="AE577" s="214"/>
      <c r="AF577" s="93"/>
      <c r="AG577" s="93"/>
      <c r="AH577" s="93"/>
      <c r="AI577" s="93"/>
      <c r="AJ577" s="93"/>
    </row>
    <row r="578" spans="30:36" ht="18">
      <c r="AD578" s="93"/>
      <c r="AE578" s="214"/>
      <c r="AF578" s="93"/>
      <c r="AG578" s="93"/>
      <c r="AH578" s="93"/>
      <c r="AI578" s="93"/>
      <c r="AJ578" s="93"/>
    </row>
    <row r="579" spans="30:36" ht="18">
      <c r="AD579" s="93"/>
      <c r="AE579" s="214"/>
      <c r="AF579" s="93"/>
      <c r="AG579" s="93"/>
      <c r="AH579" s="93"/>
      <c r="AI579" s="93"/>
      <c r="AJ579" s="93"/>
    </row>
    <row r="580" spans="30:36" ht="18">
      <c r="AD580" s="93"/>
      <c r="AE580" s="214"/>
      <c r="AF580" s="93"/>
      <c r="AG580" s="93"/>
      <c r="AH580" s="93"/>
      <c r="AI580" s="93"/>
      <c r="AJ580" s="93"/>
    </row>
    <row r="581" spans="30:36" ht="18">
      <c r="AD581" s="93"/>
      <c r="AE581" s="215"/>
      <c r="AF581" s="93"/>
      <c r="AG581" s="93"/>
      <c r="AH581" s="93"/>
      <c r="AI581" s="93"/>
      <c r="AJ581" s="93"/>
    </row>
    <row r="582" spans="30:36" ht="18">
      <c r="AD582" s="93"/>
      <c r="AE582" s="215"/>
      <c r="AF582" s="93"/>
      <c r="AG582" s="93"/>
      <c r="AH582" s="93"/>
      <c r="AI582" s="93"/>
      <c r="AJ582" s="93"/>
    </row>
    <row r="583" spans="30:36" ht="18">
      <c r="AD583" s="93"/>
      <c r="AE583" s="214"/>
      <c r="AF583" s="93"/>
      <c r="AG583" s="93"/>
      <c r="AH583" s="93"/>
      <c r="AI583" s="93"/>
      <c r="AJ583" s="93"/>
    </row>
    <row r="584" spans="30:36" ht="18">
      <c r="AD584" s="93"/>
      <c r="AE584" s="214"/>
      <c r="AF584" s="93"/>
      <c r="AG584" s="93"/>
      <c r="AH584" s="93"/>
      <c r="AI584" s="93"/>
      <c r="AJ584" s="93"/>
    </row>
    <row r="585" spans="30:36" ht="18">
      <c r="AD585" s="93"/>
      <c r="AE585" s="214"/>
      <c r="AF585" s="93"/>
      <c r="AG585" s="93"/>
      <c r="AH585" s="93"/>
      <c r="AI585" s="93"/>
      <c r="AJ585" s="93"/>
    </row>
    <row r="586" spans="30:36" ht="18">
      <c r="AD586" s="93"/>
      <c r="AE586" s="214"/>
      <c r="AF586" s="93"/>
      <c r="AG586" s="93"/>
      <c r="AH586" s="93"/>
      <c r="AI586" s="93"/>
      <c r="AJ586" s="93"/>
    </row>
    <row r="587" spans="30:36" ht="18">
      <c r="AD587" s="93"/>
      <c r="AE587" s="214"/>
      <c r="AF587" s="93"/>
      <c r="AG587" s="93"/>
      <c r="AH587" s="93"/>
      <c r="AI587" s="93"/>
      <c r="AJ587" s="93"/>
    </row>
    <row r="588" spans="30:36" ht="18">
      <c r="AD588" s="93"/>
      <c r="AE588" s="215"/>
      <c r="AF588" s="93"/>
      <c r="AG588" s="93"/>
      <c r="AH588" s="93"/>
      <c r="AI588" s="93"/>
      <c r="AJ588" s="93"/>
    </row>
    <row r="589" spans="30:36" ht="18">
      <c r="AD589" s="93"/>
      <c r="AE589" s="215"/>
      <c r="AF589" s="93"/>
      <c r="AG589" s="93"/>
      <c r="AH589" s="93"/>
      <c r="AI589" s="93"/>
      <c r="AJ589" s="93"/>
    </row>
    <row r="590" spans="30:36" ht="18">
      <c r="AD590" s="93"/>
      <c r="AE590" s="214"/>
      <c r="AF590" s="93"/>
      <c r="AG590" s="93"/>
      <c r="AH590" s="93"/>
      <c r="AI590" s="93"/>
      <c r="AJ590" s="93"/>
    </row>
    <row r="591" spans="30:36" ht="18">
      <c r="AD591" s="93"/>
      <c r="AE591" s="214"/>
      <c r="AF591" s="93"/>
      <c r="AG591" s="93"/>
      <c r="AH591" s="93"/>
      <c r="AI591" s="93"/>
      <c r="AJ591" s="93"/>
    </row>
    <row r="592" spans="30:36" ht="18">
      <c r="AD592" s="93"/>
      <c r="AE592" s="214"/>
      <c r="AF592" s="93"/>
      <c r="AG592" s="93"/>
      <c r="AH592" s="93"/>
      <c r="AI592" s="93"/>
      <c r="AJ592" s="93"/>
    </row>
    <row r="593" spans="30:36" ht="18">
      <c r="AD593" s="93"/>
      <c r="AE593" s="214"/>
      <c r="AF593" s="93"/>
      <c r="AG593" s="93"/>
      <c r="AH593" s="93"/>
      <c r="AI593" s="93"/>
      <c r="AJ593" s="93"/>
    </row>
    <row r="594" spans="30:36" ht="18">
      <c r="AD594" s="93"/>
      <c r="AE594" s="214"/>
      <c r="AF594" s="93"/>
      <c r="AG594" s="93"/>
      <c r="AH594" s="93"/>
      <c r="AI594" s="93"/>
      <c r="AJ594" s="93"/>
    </row>
    <row r="595" spans="30:36" ht="18">
      <c r="AD595" s="93"/>
      <c r="AE595" s="214"/>
      <c r="AF595" s="93"/>
      <c r="AG595" s="93"/>
      <c r="AH595" s="93"/>
      <c r="AI595" s="93"/>
      <c r="AJ595" s="93"/>
    </row>
    <row r="596" spans="30:36" ht="18">
      <c r="AD596" s="93"/>
      <c r="AE596" s="214"/>
      <c r="AF596" s="93"/>
      <c r="AG596" s="93"/>
      <c r="AH596" s="93"/>
      <c r="AI596" s="93"/>
      <c r="AJ596" s="93"/>
    </row>
    <row r="597" spans="30:36" ht="18">
      <c r="AD597" s="93"/>
      <c r="AE597" s="214"/>
      <c r="AF597" s="93"/>
      <c r="AG597" s="93"/>
      <c r="AH597" s="93"/>
      <c r="AI597" s="93"/>
      <c r="AJ597" s="93"/>
    </row>
    <row r="598" spans="30:36" ht="18">
      <c r="AD598" s="93"/>
      <c r="AE598" s="214"/>
      <c r="AF598" s="93"/>
      <c r="AG598" s="93"/>
      <c r="AH598" s="93"/>
      <c r="AI598" s="93"/>
      <c r="AJ598" s="93"/>
    </row>
    <row r="599" spans="30:36" ht="18">
      <c r="AD599" s="93"/>
      <c r="AE599" s="215"/>
      <c r="AF599" s="93"/>
      <c r="AG599" s="93"/>
      <c r="AH599" s="93"/>
      <c r="AI599" s="93"/>
      <c r="AJ599" s="93"/>
    </row>
    <row r="600" spans="30:36" ht="18">
      <c r="AD600" s="93"/>
      <c r="AE600" s="215"/>
      <c r="AF600" s="93"/>
      <c r="AG600" s="93"/>
      <c r="AH600" s="93"/>
      <c r="AI600" s="93"/>
      <c r="AJ600" s="93"/>
    </row>
    <row r="601" spans="30:36" ht="18">
      <c r="AD601" s="93"/>
      <c r="AE601" s="214"/>
      <c r="AF601" s="93"/>
      <c r="AG601" s="93"/>
      <c r="AH601" s="93"/>
      <c r="AI601" s="93"/>
      <c r="AJ601" s="93"/>
    </row>
    <row r="602" spans="30:36" ht="18">
      <c r="AD602" s="93"/>
      <c r="AE602" s="214"/>
      <c r="AF602" s="93"/>
      <c r="AG602" s="93"/>
      <c r="AH602" s="93"/>
      <c r="AI602" s="93"/>
      <c r="AJ602" s="93"/>
    </row>
    <row r="603" spans="30:36" ht="18">
      <c r="AD603" s="93"/>
      <c r="AE603" s="214"/>
      <c r="AF603" s="93"/>
      <c r="AG603" s="93"/>
      <c r="AH603" s="93"/>
      <c r="AI603" s="93"/>
      <c r="AJ603" s="93"/>
    </row>
    <row r="604" spans="30:36" ht="18">
      <c r="AD604" s="93"/>
      <c r="AE604" s="214"/>
      <c r="AF604" s="93"/>
      <c r="AG604" s="93"/>
      <c r="AH604" s="93"/>
      <c r="AI604" s="93"/>
      <c r="AJ604" s="93"/>
    </row>
    <row r="605" spans="30:36" ht="18">
      <c r="AD605" s="93"/>
      <c r="AE605" s="214"/>
      <c r="AF605" s="93"/>
      <c r="AG605" s="93"/>
      <c r="AH605" s="93"/>
      <c r="AI605" s="93"/>
      <c r="AJ605" s="93"/>
    </row>
    <row r="606" spans="30:36" ht="18">
      <c r="AD606" s="93"/>
      <c r="AE606" s="214"/>
      <c r="AF606" s="93"/>
      <c r="AG606" s="93"/>
      <c r="AH606" s="93"/>
      <c r="AI606" s="93"/>
      <c r="AJ606" s="93"/>
    </row>
    <row r="607" spans="30:36" ht="18">
      <c r="AD607" s="93"/>
      <c r="AE607" s="214"/>
      <c r="AF607" s="93"/>
      <c r="AG607" s="93"/>
      <c r="AH607" s="93"/>
      <c r="AI607" s="93"/>
      <c r="AJ607" s="93"/>
    </row>
    <row r="608" spans="30:36" ht="18">
      <c r="AD608" s="93"/>
      <c r="AE608" s="214"/>
      <c r="AF608" s="93"/>
      <c r="AG608" s="93"/>
      <c r="AH608" s="93"/>
      <c r="AI608" s="93"/>
      <c r="AJ608" s="93"/>
    </row>
    <row r="609" spans="30:36" ht="18">
      <c r="AD609" s="93"/>
      <c r="AE609" s="214"/>
      <c r="AF609" s="93"/>
      <c r="AG609" s="93"/>
      <c r="AH609" s="93"/>
      <c r="AI609" s="93"/>
      <c r="AJ609" s="93"/>
    </row>
    <row r="610" spans="30:36" ht="18">
      <c r="AD610" s="93"/>
      <c r="AE610" s="214"/>
      <c r="AF610" s="93"/>
      <c r="AG610" s="93"/>
      <c r="AH610" s="93"/>
      <c r="AI610" s="93"/>
      <c r="AJ610" s="93"/>
    </row>
    <row r="611" spans="30:36" ht="18">
      <c r="AD611" s="93"/>
      <c r="AE611" s="214"/>
      <c r="AF611" s="93"/>
      <c r="AG611" s="93"/>
      <c r="AH611" s="93"/>
      <c r="AI611" s="93"/>
      <c r="AJ611" s="93"/>
    </row>
    <row r="612" spans="30:36" ht="18">
      <c r="AD612" s="93"/>
      <c r="AE612" s="214"/>
      <c r="AF612" s="93"/>
      <c r="AG612" s="93"/>
      <c r="AH612" s="93"/>
      <c r="AI612" s="93"/>
      <c r="AJ612" s="93"/>
    </row>
    <row r="613" spans="30:36" ht="18">
      <c r="AD613" s="93"/>
      <c r="AE613" s="214"/>
      <c r="AF613" s="93"/>
      <c r="AG613" s="93"/>
      <c r="AH613" s="93"/>
      <c r="AI613" s="93"/>
      <c r="AJ613" s="93"/>
    </row>
    <row r="614" spans="30:36" ht="18">
      <c r="AD614" s="93"/>
      <c r="AE614" s="214"/>
      <c r="AF614" s="93"/>
      <c r="AG614" s="93"/>
      <c r="AH614" s="93"/>
      <c r="AI614" s="93"/>
      <c r="AJ614" s="93"/>
    </row>
    <row r="615" spans="30:36" ht="18">
      <c r="AD615" s="93"/>
      <c r="AE615" s="214"/>
      <c r="AF615" s="93"/>
      <c r="AG615" s="93"/>
      <c r="AH615" s="93"/>
      <c r="AI615" s="93"/>
      <c r="AJ615" s="93"/>
    </row>
    <row r="616" spans="30:36" ht="18">
      <c r="AD616" s="93"/>
      <c r="AE616" s="214"/>
      <c r="AF616" s="93"/>
      <c r="AG616" s="93"/>
      <c r="AH616" s="93"/>
      <c r="AI616" s="93"/>
      <c r="AJ616" s="93"/>
    </row>
    <row r="617" spans="30:36" ht="18">
      <c r="AD617" s="93"/>
      <c r="AE617" s="214"/>
      <c r="AF617" s="93"/>
      <c r="AG617" s="93"/>
      <c r="AH617" s="93"/>
      <c r="AI617" s="93"/>
      <c r="AJ617" s="93"/>
    </row>
    <row r="618" spans="30:36" ht="18">
      <c r="AD618" s="93"/>
      <c r="AE618" s="214"/>
      <c r="AF618" s="93"/>
      <c r="AG618" s="93"/>
      <c r="AH618" s="93"/>
      <c r="AI618" s="93"/>
      <c r="AJ618" s="93"/>
    </row>
    <row r="619" spans="30:36" ht="18">
      <c r="AD619" s="93"/>
      <c r="AE619" s="214"/>
      <c r="AF619" s="93"/>
      <c r="AG619" s="93"/>
      <c r="AH619" s="93"/>
      <c r="AI619" s="93"/>
      <c r="AJ619" s="93"/>
    </row>
    <row r="620" spans="30:36" ht="18">
      <c r="AD620" s="93"/>
      <c r="AE620" s="214"/>
      <c r="AF620" s="93"/>
      <c r="AG620" s="93"/>
      <c r="AH620" s="93"/>
      <c r="AI620" s="93"/>
      <c r="AJ620" s="93"/>
    </row>
    <row r="621" spans="30:36" ht="18">
      <c r="AD621" s="93"/>
      <c r="AE621" s="214"/>
      <c r="AF621" s="93"/>
      <c r="AG621" s="93"/>
      <c r="AH621" s="93"/>
      <c r="AI621" s="93"/>
      <c r="AJ621" s="93"/>
    </row>
    <row r="622" spans="30:36" ht="18">
      <c r="AD622" s="93"/>
      <c r="AE622" s="214"/>
      <c r="AF622" s="93"/>
      <c r="AG622" s="93"/>
      <c r="AH622" s="93"/>
      <c r="AI622" s="93"/>
      <c r="AJ622" s="93"/>
    </row>
    <row r="623" spans="30:36" ht="18">
      <c r="AD623" s="93"/>
      <c r="AE623" s="214"/>
      <c r="AF623" s="93"/>
      <c r="AG623" s="93"/>
      <c r="AH623" s="93"/>
      <c r="AI623" s="93"/>
      <c r="AJ623" s="93"/>
    </row>
    <row r="624" spans="30:36" ht="18">
      <c r="AD624" s="93"/>
      <c r="AE624" s="214"/>
      <c r="AF624" s="93"/>
      <c r="AG624" s="93"/>
      <c r="AH624" s="93"/>
      <c r="AI624" s="93"/>
      <c r="AJ624" s="93"/>
    </row>
    <row r="625" spans="30:36" ht="18">
      <c r="AD625" s="93"/>
      <c r="AE625" s="214"/>
      <c r="AF625" s="93"/>
      <c r="AG625" s="93"/>
      <c r="AH625" s="93"/>
      <c r="AI625" s="93"/>
      <c r="AJ625" s="93"/>
    </row>
    <row r="626" spans="30:36" ht="18">
      <c r="AD626" s="93"/>
      <c r="AE626" s="214"/>
      <c r="AF626" s="93"/>
      <c r="AG626" s="93"/>
      <c r="AH626" s="93"/>
      <c r="AI626" s="93"/>
      <c r="AJ626" s="93"/>
    </row>
    <row r="627" spans="30:36" ht="18">
      <c r="AD627" s="93"/>
      <c r="AE627" s="214"/>
      <c r="AF627" s="93"/>
      <c r="AG627" s="93"/>
      <c r="AH627" s="93"/>
      <c r="AI627" s="93"/>
      <c r="AJ627" s="93"/>
    </row>
    <row r="628" spans="30:36" ht="18">
      <c r="AD628" s="93"/>
      <c r="AE628" s="214"/>
      <c r="AF628" s="93"/>
      <c r="AG628" s="93"/>
      <c r="AH628" s="93"/>
      <c r="AI628" s="93"/>
      <c r="AJ628" s="93"/>
    </row>
    <row r="629" spans="30:36" ht="18">
      <c r="AD629" s="93"/>
      <c r="AE629" s="214"/>
      <c r="AF629" s="93"/>
      <c r="AG629" s="93"/>
      <c r="AH629" s="93"/>
      <c r="AI629" s="93"/>
      <c r="AJ629" s="93"/>
    </row>
    <row r="630" spans="30:36" ht="18">
      <c r="AD630" s="93"/>
      <c r="AE630" s="214"/>
      <c r="AF630" s="93"/>
      <c r="AG630" s="93"/>
      <c r="AH630" s="93"/>
      <c r="AI630" s="93"/>
      <c r="AJ630" s="93"/>
    </row>
    <row r="631" spans="30:36" ht="18">
      <c r="AD631" s="93"/>
      <c r="AE631" s="214"/>
      <c r="AF631" s="93"/>
      <c r="AG631" s="93"/>
      <c r="AH631" s="93"/>
      <c r="AI631" s="93"/>
      <c r="AJ631" s="93"/>
    </row>
    <row r="632" spans="30:36" ht="18">
      <c r="AD632" s="93"/>
      <c r="AE632" s="214"/>
      <c r="AF632" s="93"/>
      <c r="AG632" s="93"/>
      <c r="AH632" s="93"/>
      <c r="AI632" s="93"/>
      <c r="AJ632" s="93"/>
    </row>
    <row r="633" spans="30:36" ht="18">
      <c r="AD633" s="93"/>
      <c r="AE633" s="215"/>
      <c r="AF633" s="93"/>
      <c r="AG633" s="93"/>
      <c r="AH633" s="93"/>
      <c r="AI633" s="93"/>
      <c r="AJ633" s="93"/>
    </row>
    <row r="634" spans="30:36" ht="18">
      <c r="AD634" s="93"/>
      <c r="AE634" s="214"/>
      <c r="AF634" s="93"/>
      <c r="AG634" s="93"/>
      <c r="AH634" s="93"/>
      <c r="AI634" s="93"/>
      <c r="AJ634" s="93"/>
    </row>
    <row r="635" spans="30:36" ht="18">
      <c r="AD635" s="93"/>
      <c r="AE635" s="214"/>
      <c r="AF635" s="93"/>
      <c r="AG635" s="93"/>
      <c r="AH635" s="93"/>
      <c r="AI635" s="93"/>
      <c r="AJ635" s="93"/>
    </row>
    <row r="636" spans="30:36" ht="18">
      <c r="AD636" s="93"/>
      <c r="AE636" s="214"/>
      <c r="AF636" s="93"/>
      <c r="AG636" s="93"/>
      <c r="AH636" s="93"/>
      <c r="AI636" s="93"/>
      <c r="AJ636" s="93"/>
    </row>
    <row r="637" spans="30:36" ht="18">
      <c r="AD637" s="93"/>
      <c r="AE637" s="214"/>
      <c r="AF637" s="93"/>
      <c r="AG637" s="93"/>
      <c r="AH637" s="93"/>
      <c r="AI637" s="93"/>
      <c r="AJ637" s="93"/>
    </row>
    <row r="638" spans="30:36" ht="18">
      <c r="AD638" s="93"/>
      <c r="AE638" s="214"/>
      <c r="AF638" s="93"/>
      <c r="AG638" s="93"/>
      <c r="AH638" s="93"/>
      <c r="AI638" s="93"/>
      <c r="AJ638" s="93"/>
    </row>
    <row r="639" spans="30:36" ht="18">
      <c r="AD639" s="93"/>
      <c r="AE639" s="214"/>
      <c r="AF639" s="93"/>
      <c r="AG639" s="93"/>
      <c r="AH639" s="93"/>
      <c r="AI639" s="93"/>
      <c r="AJ639" s="93"/>
    </row>
    <row r="640" spans="30:36" ht="18">
      <c r="AD640" s="93"/>
      <c r="AE640" s="214"/>
      <c r="AF640" s="93"/>
      <c r="AG640" s="93"/>
      <c r="AH640" s="93"/>
      <c r="AI640" s="93"/>
      <c r="AJ640" s="93"/>
    </row>
    <row r="641" spans="30:36" ht="18">
      <c r="AD641" s="93"/>
      <c r="AE641" s="214"/>
      <c r="AF641" s="93"/>
      <c r="AG641" s="93"/>
      <c r="AH641" s="93"/>
      <c r="AI641" s="93"/>
      <c r="AJ641" s="93"/>
    </row>
    <row r="642" spans="30:36" ht="18">
      <c r="AD642" s="93"/>
      <c r="AE642" s="214"/>
      <c r="AF642" s="93"/>
      <c r="AG642" s="93"/>
      <c r="AH642" s="93"/>
      <c r="AI642" s="93"/>
      <c r="AJ642" s="93"/>
    </row>
    <row r="643" spans="30:36" ht="18">
      <c r="AD643" s="93"/>
      <c r="AE643" s="214"/>
      <c r="AF643" s="93"/>
      <c r="AG643" s="93"/>
      <c r="AH643" s="93"/>
      <c r="AI643" s="93"/>
      <c r="AJ643" s="93"/>
    </row>
    <row r="644" spans="30:36" ht="18">
      <c r="AD644" s="93"/>
      <c r="AE644" s="214"/>
      <c r="AF644" s="93"/>
      <c r="AG644" s="93"/>
      <c r="AH644" s="93"/>
      <c r="AI644" s="93"/>
      <c r="AJ644" s="93"/>
    </row>
    <row r="645" spans="30:36" ht="18">
      <c r="AD645" s="93"/>
      <c r="AE645" s="214"/>
      <c r="AF645" s="93"/>
      <c r="AG645" s="93"/>
      <c r="AH645" s="93"/>
      <c r="AI645" s="93"/>
      <c r="AJ645" s="93"/>
    </row>
    <row r="646" spans="30:36" ht="18">
      <c r="AD646" s="93"/>
      <c r="AE646" s="214"/>
      <c r="AF646" s="93"/>
      <c r="AG646" s="93"/>
      <c r="AH646" s="93"/>
      <c r="AI646" s="93"/>
      <c r="AJ646" s="93"/>
    </row>
    <row r="647" spans="30:36" ht="18">
      <c r="AD647" s="93"/>
      <c r="AE647" s="214"/>
      <c r="AF647" s="93"/>
      <c r="AG647" s="93"/>
      <c r="AH647" s="93"/>
      <c r="AI647" s="93"/>
      <c r="AJ647" s="93"/>
    </row>
    <row r="648" spans="30:36" ht="18">
      <c r="AD648" s="93"/>
      <c r="AE648" s="214"/>
      <c r="AF648" s="93"/>
      <c r="AG648" s="93"/>
      <c r="AH648" s="93"/>
      <c r="AI648" s="93"/>
      <c r="AJ648" s="93"/>
    </row>
    <row r="649" spans="30:36" ht="18">
      <c r="AD649" s="93"/>
      <c r="AE649" s="214"/>
      <c r="AF649" s="93"/>
      <c r="AG649" s="93"/>
      <c r="AH649" s="93"/>
      <c r="AI649" s="93"/>
      <c r="AJ649" s="93"/>
    </row>
    <row r="650" spans="30:36" ht="18">
      <c r="AD650" s="93"/>
      <c r="AE650" s="214"/>
      <c r="AF650" s="93"/>
      <c r="AG650" s="93"/>
      <c r="AH650" s="93"/>
      <c r="AI650" s="93"/>
      <c r="AJ650" s="93"/>
    </row>
    <row r="651" spans="30:36" ht="18">
      <c r="AD651" s="93"/>
      <c r="AE651" s="214"/>
      <c r="AF651" s="93"/>
      <c r="AG651" s="93"/>
      <c r="AH651" s="93"/>
      <c r="AI651" s="93"/>
      <c r="AJ651" s="93"/>
    </row>
    <row r="652" spans="30:36" ht="18">
      <c r="AD652" s="93"/>
      <c r="AE652" s="214"/>
      <c r="AF652" s="93"/>
      <c r="AG652" s="93"/>
      <c r="AH652" s="93"/>
      <c r="AI652" s="93"/>
      <c r="AJ652" s="93"/>
    </row>
    <row r="653" spans="30:36" ht="18">
      <c r="AD653" s="93"/>
      <c r="AE653" s="214"/>
      <c r="AF653" s="93"/>
      <c r="AG653" s="93"/>
      <c r="AH653" s="93"/>
      <c r="AI653" s="93"/>
      <c r="AJ653" s="93"/>
    </row>
    <row r="654" spans="30:36" ht="18">
      <c r="AD654" s="93"/>
      <c r="AE654" s="214"/>
      <c r="AF654" s="93"/>
      <c r="AG654" s="93"/>
      <c r="AH654" s="93"/>
      <c r="AI654" s="93"/>
      <c r="AJ654" s="93"/>
    </row>
    <row r="655" spans="30:36" ht="18">
      <c r="AD655" s="93"/>
      <c r="AE655" s="214"/>
      <c r="AF655" s="93"/>
      <c r="AG655" s="93"/>
      <c r="AH655" s="93"/>
      <c r="AI655" s="93"/>
      <c r="AJ655" s="93"/>
    </row>
    <row r="656" spans="30:36" ht="18">
      <c r="AD656" s="93"/>
      <c r="AE656" s="214"/>
      <c r="AF656" s="93"/>
      <c r="AG656" s="93"/>
      <c r="AH656" s="93"/>
      <c r="AI656" s="93"/>
      <c r="AJ656" s="93"/>
    </row>
    <row r="657" spans="30:36" ht="18">
      <c r="AD657" s="93"/>
      <c r="AE657" s="214"/>
      <c r="AF657" s="93"/>
      <c r="AG657" s="93"/>
      <c r="AH657" s="93"/>
      <c r="AI657" s="93"/>
      <c r="AJ657" s="93"/>
    </row>
    <row r="658" spans="30:36" ht="18">
      <c r="AD658" s="93"/>
      <c r="AE658" s="214"/>
      <c r="AF658" s="93"/>
      <c r="AG658" s="93"/>
      <c r="AH658" s="93"/>
      <c r="AI658" s="93"/>
      <c r="AJ658" s="93"/>
    </row>
    <row r="659" spans="30:36" ht="18">
      <c r="AD659" s="93"/>
      <c r="AE659" s="214"/>
      <c r="AF659" s="93"/>
      <c r="AG659" s="93"/>
      <c r="AH659" s="93"/>
      <c r="AI659" s="93"/>
      <c r="AJ659" s="93"/>
    </row>
    <row r="660" spans="30:36" ht="18">
      <c r="AD660" s="93"/>
      <c r="AE660" s="214"/>
      <c r="AF660" s="93"/>
      <c r="AG660" s="93"/>
      <c r="AH660" s="93"/>
      <c r="AI660" s="93"/>
      <c r="AJ660" s="93"/>
    </row>
    <row r="661" spans="30:36" ht="18">
      <c r="AD661" s="93"/>
      <c r="AE661" s="214"/>
      <c r="AF661" s="93"/>
      <c r="AG661" s="93"/>
      <c r="AH661" s="93"/>
      <c r="AI661" s="93"/>
      <c r="AJ661" s="93"/>
    </row>
    <row r="662" spans="30:36" ht="18">
      <c r="AD662" s="93"/>
      <c r="AE662" s="214"/>
      <c r="AF662" s="93"/>
      <c r="AG662" s="93"/>
      <c r="AH662" s="93"/>
      <c r="AI662" s="93"/>
      <c r="AJ662" s="93"/>
    </row>
    <row r="663" spans="30:36" ht="18">
      <c r="AD663" s="93"/>
      <c r="AE663" s="214"/>
      <c r="AF663" s="93"/>
      <c r="AG663" s="93"/>
      <c r="AH663" s="93"/>
      <c r="AI663" s="93"/>
      <c r="AJ663" s="93"/>
    </row>
    <row r="664" spans="30:36" ht="18">
      <c r="AD664" s="93"/>
      <c r="AE664" s="214"/>
      <c r="AF664" s="93"/>
      <c r="AG664" s="93"/>
      <c r="AH664" s="93"/>
      <c r="AI664" s="93"/>
      <c r="AJ664" s="93"/>
    </row>
    <row r="665" spans="30:36" ht="18">
      <c r="AD665" s="93"/>
      <c r="AE665" s="214"/>
      <c r="AF665" s="93"/>
      <c r="AG665" s="93"/>
      <c r="AH665" s="93"/>
      <c r="AI665" s="93"/>
      <c r="AJ665" s="93"/>
    </row>
    <row r="666" spans="30:36" ht="18">
      <c r="AD666" s="93"/>
      <c r="AE666" s="214"/>
      <c r="AF666" s="93"/>
      <c r="AG666" s="93"/>
      <c r="AH666" s="93"/>
      <c r="AI666" s="93"/>
      <c r="AJ666" s="93"/>
    </row>
    <row r="667" spans="30:36" ht="18">
      <c r="AD667" s="93"/>
      <c r="AE667" s="214"/>
      <c r="AF667" s="93"/>
      <c r="AG667" s="93"/>
      <c r="AH667" s="93"/>
      <c r="AI667" s="93"/>
      <c r="AJ667" s="93"/>
    </row>
    <row r="668" spans="30:36" ht="18">
      <c r="AD668" s="93"/>
      <c r="AE668" s="214"/>
      <c r="AF668" s="93"/>
      <c r="AG668" s="93"/>
      <c r="AH668" s="93"/>
      <c r="AI668" s="93"/>
      <c r="AJ668" s="93"/>
    </row>
    <row r="669" spans="30:36" ht="18">
      <c r="AD669" s="93"/>
      <c r="AE669" s="214"/>
      <c r="AF669" s="93"/>
      <c r="AG669" s="93"/>
      <c r="AH669" s="93"/>
      <c r="AI669" s="93"/>
      <c r="AJ669" s="93"/>
    </row>
    <row r="670" spans="30:36" ht="18">
      <c r="AD670" s="93"/>
      <c r="AE670" s="214"/>
      <c r="AF670" s="93"/>
      <c r="AG670" s="93"/>
      <c r="AH670" s="93"/>
      <c r="AI670" s="93"/>
      <c r="AJ670" s="93"/>
    </row>
    <row r="671" spans="30:36" ht="18">
      <c r="AD671" s="93"/>
      <c r="AE671" s="214"/>
      <c r="AF671" s="93"/>
      <c r="AG671" s="93"/>
      <c r="AH671" s="93"/>
      <c r="AI671" s="93"/>
      <c r="AJ671" s="93"/>
    </row>
    <row r="672" spans="30:36" ht="18">
      <c r="AD672" s="93"/>
      <c r="AE672" s="214"/>
      <c r="AF672" s="93"/>
      <c r="AG672" s="93"/>
      <c r="AH672" s="93"/>
      <c r="AI672" s="93"/>
      <c r="AJ672" s="93"/>
    </row>
    <row r="673" spans="30:36" ht="18">
      <c r="AD673" s="93"/>
      <c r="AE673" s="214"/>
      <c r="AF673" s="93"/>
      <c r="AG673" s="93"/>
      <c r="AH673" s="93"/>
      <c r="AI673" s="93"/>
      <c r="AJ673" s="93"/>
    </row>
    <row r="674" spans="30:36" ht="18">
      <c r="AD674" s="93"/>
      <c r="AE674" s="214"/>
      <c r="AF674" s="93"/>
      <c r="AG674" s="93"/>
      <c r="AH674" s="93"/>
      <c r="AI674" s="93"/>
      <c r="AJ674" s="93"/>
    </row>
    <row r="675" spans="30:36" ht="18">
      <c r="AD675" s="93"/>
      <c r="AE675" s="214"/>
      <c r="AF675" s="93"/>
      <c r="AG675" s="93"/>
      <c r="AH675" s="93"/>
      <c r="AI675" s="93"/>
      <c r="AJ675" s="93"/>
    </row>
    <row r="676" spans="30:36" ht="18">
      <c r="AD676" s="93"/>
      <c r="AE676" s="214"/>
      <c r="AF676" s="93"/>
      <c r="AG676" s="93"/>
      <c r="AH676" s="93"/>
      <c r="AI676" s="93"/>
      <c r="AJ676" s="93"/>
    </row>
    <row r="677" spans="30:36" ht="18">
      <c r="AD677" s="93"/>
      <c r="AE677" s="214"/>
      <c r="AF677" s="93"/>
      <c r="AG677" s="93"/>
      <c r="AH677" s="93"/>
      <c r="AI677" s="93"/>
      <c r="AJ677" s="93"/>
    </row>
    <row r="678" spans="30:36" ht="18">
      <c r="AD678" s="93"/>
      <c r="AE678" s="214"/>
      <c r="AF678" s="93"/>
      <c r="AG678" s="93"/>
      <c r="AH678" s="93"/>
      <c r="AI678" s="93"/>
      <c r="AJ678" s="93"/>
    </row>
    <row r="679" spans="30:36" ht="18">
      <c r="AD679" s="93"/>
      <c r="AE679" s="214"/>
      <c r="AF679" s="93"/>
      <c r="AG679" s="93"/>
      <c r="AH679" s="93"/>
      <c r="AI679" s="93"/>
      <c r="AJ679" s="93"/>
    </row>
    <row r="680" spans="30:36" ht="18">
      <c r="AD680" s="93"/>
      <c r="AE680" s="214"/>
      <c r="AF680" s="93"/>
      <c r="AG680" s="93"/>
      <c r="AH680" s="93"/>
      <c r="AI680" s="93"/>
      <c r="AJ680" s="93"/>
    </row>
    <row r="681" spans="30:36" ht="18">
      <c r="AD681" s="93"/>
      <c r="AE681" s="214"/>
      <c r="AF681" s="93"/>
      <c r="AG681" s="93"/>
      <c r="AH681" s="93"/>
      <c r="AI681" s="93"/>
      <c r="AJ681" s="93"/>
    </row>
    <row r="682" spans="30:36" ht="18">
      <c r="AD682" s="93"/>
      <c r="AE682" s="214"/>
      <c r="AF682" s="93"/>
      <c r="AG682" s="93"/>
      <c r="AH682" s="93"/>
      <c r="AI682" s="93"/>
      <c r="AJ682" s="93"/>
    </row>
    <row r="683" spans="30:36" ht="18">
      <c r="AD683" s="93"/>
      <c r="AE683" s="214"/>
      <c r="AF683" s="93"/>
      <c r="AG683" s="93"/>
      <c r="AH683" s="93"/>
      <c r="AI683" s="93"/>
      <c r="AJ683" s="93"/>
    </row>
    <row r="684" spans="30:36" ht="18">
      <c r="AD684" s="93"/>
      <c r="AE684" s="214"/>
      <c r="AF684" s="93"/>
      <c r="AG684" s="93"/>
      <c r="AH684" s="93"/>
      <c r="AI684" s="93"/>
      <c r="AJ684" s="93"/>
    </row>
    <row r="685" spans="30:36" ht="18">
      <c r="AD685" s="93"/>
      <c r="AE685" s="214"/>
      <c r="AF685" s="93"/>
      <c r="AG685" s="93"/>
      <c r="AH685" s="93"/>
      <c r="AI685" s="93"/>
      <c r="AJ685" s="93"/>
    </row>
    <row r="686" spans="30:36" ht="18">
      <c r="AD686" s="93"/>
      <c r="AE686" s="214"/>
      <c r="AF686" s="93"/>
      <c r="AG686" s="93"/>
      <c r="AH686" s="93"/>
      <c r="AI686" s="93"/>
      <c r="AJ686" s="93"/>
    </row>
    <row r="687" spans="30:36" ht="18">
      <c r="AD687" s="93"/>
      <c r="AE687" s="214"/>
      <c r="AF687" s="93"/>
      <c r="AG687" s="93"/>
      <c r="AH687" s="93"/>
      <c r="AI687" s="93"/>
      <c r="AJ687" s="93"/>
    </row>
    <row r="688" spans="30:36" ht="18">
      <c r="AD688" s="93"/>
      <c r="AE688" s="214"/>
      <c r="AF688" s="93"/>
      <c r="AG688" s="93"/>
      <c r="AH688" s="93"/>
      <c r="AI688" s="93"/>
      <c r="AJ688" s="93"/>
    </row>
    <row r="689" spans="30:36" ht="18">
      <c r="AD689" s="93"/>
      <c r="AE689" s="214"/>
      <c r="AF689" s="93"/>
      <c r="AG689" s="93"/>
      <c r="AH689" s="93"/>
      <c r="AI689" s="93"/>
      <c r="AJ689" s="93"/>
    </row>
    <row r="690" spans="30:36" ht="18">
      <c r="AD690" s="93"/>
      <c r="AE690" s="214"/>
      <c r="AF690" s="93"/>
      <c r="AG690" s="93"/>
      <c r="AH690" s="93"/>
      <c r="AI690" s="93"/>
      <c r="AJ690" s="93"/>
    </row>
    <row r="691" spans="30:36" ht="18">
      <c r="AD691" s="93"/>
      <c r="AE691" s="214"/>
      <c r="AF691" s="93"/>
      <c r="AG691" s="93"/>
      <c r="AH691" s="93"/>
      <c r="AI691" s="93"/>
      <c r="AJ691" s="93"/>
    </row>
    <row r="692" spans="30:36" ht="18">
      <c r="AD692" s="93"/>
      <c r="AE692" s="214"/>
      <c r="AF692" s="93"/>
      <c r="AG692" s="93"/>
      <c r="AH692" s="93"/>
      <c r="AI692" s="93"/>
      <c r="AJ692" s="93"/>
    </row>
    <row r="693" spans="30:36" ht="18">
      <c r="AD693" s="93"/>
      <c r="AE693" s="214"/>
      <c r="AF693" s="93"/>
      <c r="AG693" s="93"/>
      <c r="AH693" s="93"/>
      <c r="AI693" s="93"/>
      <c r="AJ693" s="93"/>
    </row>
    <row r="694" spans="30:36" ht="18">
      <c r="AD694" s="93"/>
      <c r="AE694" s="214"/>
      <c r="AF694" s="93"/>
      <c r="AG694" s="93"/>
      <c r="AH694" s="93"/>
      <c r="AI694" s="93"/>
      <c r="AJ694" s="93"/>
    </row>
    <row r="695" spans="30:36" ht="18">
      <c r="AD695" s="93"/>
      <c r="AE695" s="214"/>
      <c r="AF695" s="93"/>
      <c r="AG695" s="93"/>
      <c r="AH695" s="93"/>
      <c r="AI695" s="93"/>
      <c r="AJ695" s="93"/>
    </row>
    <row r="696" spans="30:36" ht="18">
      <c r="AD696" s="93"/>
      <c r="AE696" s="214"/>
      <c r="AF696" s="93"/>
      <c r="AG696" s="93"/>
      <c r="AH696" s="93"/>
      <c r="AI696" s="93"/>
      <c r="AJ696" s="93"/>
    </row>
    <row r="697" spans="30:36" ht="18">
      <c r="AD697" s="93"/>
      <c r="AE697" s="214"/>
      <c r="AF697" s="93"/>
      <c r="AG697" s="93"/>
      <c r="AH697" s="93"/>
      <c r="AI697" s="93"/>
      <c r="AJ697" s="93"/>
    </row>
    <row r="698" spans="30:36" ht="18">
      <c r="AD698" s="93"/>
      <c r="AE698" s="214"/>
      <c r="AF698" s="93"/>
      <c r="AG698" s="93"/>
      <c r="AH698" s="93"/>
      <c r="AI698" s="93"/>
      <c r="AJ698" s="93"/>
    </row>
    <row r="699" spans="30:36" ht="18">
      <c r="AD699" s="93"/>
      <c r="AE699" s="214"/>
      <c r="AF699" s="93"/>
      <c r="AG699" s="93"/>
      <c r="AH699" s="93"/>
      <c r="AI699" s="93"/>
      <c r="AJ699" s="93"/>
    </row>
    <row r="700" spans="30:36" ht="18">
      <c r="AD700" s="93"/>
      <c r="AE700" s="214"/>
      <c r="AF700" s="93"/>
      <c r="AG700" s="93"/>
      <c r="AH700" s="93"/>
      <c r="AI700" s="93"/>
      <c r="AJ700" s="93"/>
    </row>
    <row r="701" spans="30:36" ht="18">
      <c r="AD701" s="93"/>
      <c r="AE701" s="214"/>
      <c r="AF701" s="93"/>
      <c r="AG701" s="93"/>
      <c r="AH701" s="93"/>
      <c r="AI701" s="93"/>
      <c r="AJ701" s="93"/>
    </row>
    <row r="702" spans="30:36" ht="18">
      <c r="AD702" s="93"/>
      <c r="AE702" s="214"/>
      <c r="AF702" s="93"/>
      <c r="AG702" s="93"/>
      <c r="AH702" s="93"/>
      <c r="AI702" s="93"/>
      <c r="AJ702" s="93"/>
    </row>
    <row r="703" spans="30:36" ht="18">
      <c r="AD703" s="93"/>
      <c r="AE703" s="214"/>
      <c r="AF703" s="93"/>
      <c r="AG703" s="93"/>
      <c r="AH703" s="93"/>
      <c r="AI703" s="93"/>
      <c r="AJ703" s="93"/>
    </row>
    <row r="704" spans="30:36" ht="18">
      <c r="AD704" s="93"/>
      <c r="AE704" s="214"/>
      <c r="AF704" s="93"/>
      <c r="AG704" s="93"/>
      <c r="AH704" s="93"/>
      <c r="AI704" s="93"/>
      <c r="AJ704" s="93"/>
    </row>
    <row r="705" spans="30:36" ht="18">
      <c r="AD705" s="93"/>
      <c r="AE705" s="214"/>
      <c r="AF705" s="93"/>
      <c r="AG705" s="93"/>
      <c r="AH705" s="93"/>
      <c r="AI705" s="93"/>
      <c r="AJ705" s="93"/>
    </row>
    <row r="706" spans="30:36" ht="18">
      <c r="AD706" s="93"/>
      <c r="AE706" s="214"/>
      <c r="AF706" s="93"/>
      <c r="AG706" s="93"/>
      <c r="AH706" s="93"/>
      <c r="AI706" s="93"/>
      <c r="AJ706" s="93"/>
    </row>
    <row r="707" spans="30:36" ht="18">
      <c r="AD707" s="93"/>
      <c r="AE707" s="214"/>
      <c r="AF707" s="93"/>
      <c r="AG707" s="93"/>
      <c r="AH707" s="93"/>
      <c r="AI707" s="93"/>
      <c r="AJ707" s="93"/>
    </row>
    <row r="708" spans="30:36" ht="18">
      <c r="AD708" s="93"/>
      <c r="AE708" s="214"/>
      <c r="AF708" s="93"/>
      <c r="AG708" s="93"/>
      <c r="AH708" s="93"/>
      <c r="AI708" s="93"/>
      <c r="AJ708" s="93"/>
    </row>
    <row r="709" spans="30:36" ht="18">
      <c r="AD709" s="93"/>
      <c r="AE709" s="214"/>
      <c r="AF709" s="93"/>
      <c r="AG709" s="93"/>
      <c r="AH709" s="93"/>
      <c r="AI709" s="93"/>
      <c r="AJ709" s="93"/>
    </row>
    <row r="710" spans="30:36" ht="18">
      <c r="AD710" s="93"/>
      <c r="AE710" s="214"/>
      <c r="AF710" s="93"/>
      <c r="AG710" s="93"/>
      <c r="AH710" s="93"/>
      <c r="AI710" s="93"/>
      <c r="AJ710" s="93"/>
    </row>
    <row r="711" spans="30:36" ht="18">
      <c r="AD711" s="93"/>
      <c r="AE711" s="214"/>
      <c r="AF711" s="93"/>
      <c r="AG711" s="93"/>
      <c r="AH711" s="93"/>
      <c r="AI711" s="93"/>
      <c r="AJ711" s="93"/>
    </row>
    <row r="712" spans="30:36" ht="18">
      <c r="AD712" s="93"/>
      <c r="AE712" s="214"/>
      <c r="AF712" s="93"/>
      <c r="AG712" s="93"/>
      <c r="AH712" s="93"/>
      <c r="AI712" s="93"/>
      <c r="AJ712" s="93"/>
    </row>
    <row r="713" spans="30:36" ht="18">
      <c r="AD713" s="93"/>
      <c r="AE713" s="214"/>
      <c r="AF713" s="93"/>
      <c r="AG713" s="93"/>
      <c r="AH713" s="93"/>
      <c r="AI713" s="93"/>
      <c r="AJ713" s="93"/>
    </row>
    <row r="714" spans="30:36" ht="18">
      <c r="AD714" s="93"/>
      <c r="AE714" s="214"/>
      <c r="AF714" s="93"/>
      <c r="AG714" s="93"/>
      <c r="AH714" s="93"/>
      <c r="AI714" s="93"/>
      <c r="AJ714" s="93"/>
    </row>
    <row r="715" spans="30:36" ht="18">
      <c r="AD715" s="93"/>
      <c r="AE715" s="214"/>
      <c r="AF715" s="93"/>
      <c r="AG715" s="93"/>
      <c r="AH715" s="93"/>
      <c r="AI715" s="93"/>
      <c r="AJ715" s="93"/>
    </row>
    <row r="716" spans="30:36" ht="18">
      <c r="AD716" s="93"/>
      <c r="AE716" s="214"/>
      <c r="AF716" s="93"/>
      <c r="AG716" s="93"/>
      <c r="AH716" s="93"/>
      <c r="AI716" s="93"/>
      <c r="AJ716" s="93"/>
    </row>
    <row r="717" spans="30:36" ht="18">
      <c r="AD717" s="93"/>
      <c r="AE717" s="214"/>
      <c r="AF717" s="93"/>
      <c r="AG717" s="93"/>
      <c r="AH717" s="93"/>
      <c r="AI717" s="93"/>
      <c r="AJ717" s="93"/>
    </row>
    <row r="718" spans="30:36" ht="18">
      <c r="AD718" s="93"/>
      <c r="AE718" s="214"/>
      <c r="AF718" s="93"/>
      <c r="AG718" s="93"/>
      <c r="AH718" s="93"/>
      <c r="AI718" s="93"/>
      <c r="AJ718" s="93"/>
    </row>
    <row r="719" spans="30:36" ht="18">
      <c r="AD719" s="93"/>
      <c r="AE719" s="215"/>
      <c r="AF719" s="93"/>
      <c r="AG719" s="93"/>
      <c r="AH719" s="93"/>
      <c r="AI719" s="93"/>
      <c r="AJ719" s="93"/>
    </row>
    <row r="720" spans="30:36" ht="18">
      <c r="AD720" s="93"/>
      <c r="AE720" s="215"/>
      <c r="AF720" s="93"/>
      <c r="AG720" s="93"/>
      <c r="AH720" s="93"/>
      <c r="AI720" s="93"/>
      <c r="AJ720" s="93"/>
    </row>
    <row r="721" spans="30:36" ht="18">
      <c r="AD721" s="93"/>
      <c r="AE721" s="214"/>
      <c r="AF721" s="93"/>
      <c r="AG721" s="93"/>
      <c r="AH721" s="93"/>
      <c r="AI721" s="93"/>
      <c r="AJ721" s="93"/>
    </row>
    <row r="722" spans="30:36" ht="18">
      <c r="AD722" s="93"/>
      <c r="AE722" s="214"/>
      <c r="AF722" s="93"/>
      <c r="AG722" s="93"/>
      <c r="AH722" s="93"/>
      <c r="AI722" s="93"/>
      <c r="AJ722" s="93"/>
    </row>
    <row r="723" spans="30:36" ht="18">
      <c r="AD723" s="93"/>
      <c r="AE723" s="214"/>
      <c r="AF723" s="93"/>
      <c r="AG723" s="93"/>
      <c r="AH723" s="93"/>
      <c r="AI723" s="93"/>
      <c r="AJ723" s="93"/>
    </row>
    <row r="724" spans="30:36" ht="18">
      <c r="AD724" s="93"/>
      <c r="AE724" s="215"/>
      <c r="AF724" s="93"/>
      <c r="AG724" s="93"/>
      <c r="AH724" s="93"/>
      <c r="AI724" s="93"/>
      <c r="AJ724" s="93"/>
    </row>
    <row r="725" spans="30:36" ht="18">
      <c r="AD725" s="93"/>
      <c r="AE725" s="214"/>
      <c r="AF725" s="93"/>
      <c r="AG725" s="93"/>
      <c r="AH725" s="93"/>
      <c r="AI725" s="93"/>
      <c r="AJ725" s="93"/>
    </row>
    <row r="726" spans="30:36" ht="18">
      <c r="AD726" s="93"/>
      <c r="AE726" s="214"/>
      <c r="AF726" s="93"/>
      <c r="AG726" s="93"/>
      <c r="AH726" s="93"/>
      <c r="AI726" s="93"/>
      <c r="AJ726" s="93"/>
    </row>
    <row r="727" spans="30:36" ht="18">
      <c r="AD727" s="93"/>
      <c r="AE727" s="214"/>
      <c r="AF727" s="93"/>
      <c r="AG727" s="93"/>
      <c r="AH727" s="93"/>
      <c r="AI727" s="93"/>
      <c r="AJ727" s="93"/>
    </row>
    <row r="728" spans="30:36" ht="18">
      <c r="AD728" s="93"/>
      <c r="AE728" s="214"/>
      <c r="AF728" s="93"/>
      <c r="AG728" s="93"/>
      <c r="AH728" s="93"/>
      <c r="AI728" s="93"/>
      <c r="AJ728" s="93"/>
    </row>
    <row r="729" spans="30:36" ht="18">
      <c r="AD729" s="93"/>
      <c r="AE729" s="214"/>
      <c r="AF729" s="93"/>
      <c r="AG729" s="93"/>
      <c r="AH729" s="93"/>
      <c r="AI729" s="93"/>
      <c r="AJ729" s="93"/>
    </row>
    <row r="730" spans="30:36" ht="18">
      <c r="AD730" s="93"/>
      <c r="AE730" s="214"/>
      <c r="AF730" s="93"/>
      <c r="AG730" s="93"/>
      <c r="AH730" s="93"/>
      <c r="AI730" s="93"/>
      <c r="AJ730" s="93"/>
    </row>
    <row r="731" spans="30:36" ht="18">
      <c r="AD731" s="93"/>
      <c r="AE731" s="214"/>
      <c r="AF731" s="93"/>
      <c r="AG731" s="93"/>
      <c r="AH731" s="93"/>
      <c r="AI731" s="93"/>
      <c r="AJ731" s="93"/>
    </row>
    <row r="732" spans="30:36" ht="18">
      <c r="AD732" s="93"/>
      <c r="AE732" s="215"/>
      <c r="AF732" s="93"/>
      <c r="AG732" s="93"/>
      <c r="AH732" s="93"/>
      <c r="AI732" s="93"/>
      <c r="AJ732" s="93"/>
    </row>
    <row r="733" spans="30:36" ht="18">
      <c r="AD733" s="93"/>
      <c r="AE733" s="215"/>
      <c r="AF733" s="93"/>
      <c r="AG733" s="93"/>
      <c r="AH733" s="93"/>
      <c r="AI733" s="93"/>
      <c r="AJ733" s="93"/>
    </row>
    <row r="734" spans="30:36" ht="18">
      <c r="AD734" s="93"/>
      <c r="AE734" s="214"/>
      <c r="AF734" s="93"/>
      <c r="AG734" s="93"/>
      <c r="AH734" s="93"/>
      <c r="AI734" s="93"/>
      <c r="AJ734" s="93"/>
    </row>
    <row r="735" spans="30:36" ht="18">
      <c r="AD735" s="93"/>
      <c r="AE735" s="214"/>
      <c r="AF735" s="93"/>
      <c r="AG735" s="93"/>
      <c r="AH735" s="93"/>
      <c r="AI735" s="93"/>
      <c r="AJ735" s="93"/>
    </row>
    <row r="736" spans="30:36" ht="18">
      <c r="AD736" s="93"/>
      <c r="AE736" s="214"/>
      <c r="AF736" s="93"/>
      <c r="AG736" s="93"/>
      <c r="AH736" s="93"/>
      <c r="AI736" s="93"/>
      <c r="AJ736" s="93"/>
    </row>
    <row r="737" spans="30:36" ht="18">
      <c r="AD737" s="93"/>
      <c r="AE737" s="214"/>
      <c r="AF737" s="93"/>
      <c r="AG737" s="93"/>
      <c r="AH737" s="93"/>
      <c r="AI737" s="93"/>
      <c r="AJ737" s="93"/>
    </row>
    <row r="738" spans="30:36" ht="18">
      <c r="AD738" s="93"/>
      <c r="AE738" s="214"/>
      <c r="AF738" s="93"/>
      <c r="AG738" s="93"/>
      <c r="AH738" s="93"/>
      <c r="AI738" s="93"/>
      <c r="AJ738" s="93"/>
    </row>
    <row r="739" spans="30:36" ht="18">
      <c r="AD739" s="93"/>
      <c r="AE739" s="214"/>
      <c r="AF739" s="93"/>
      <c r="AG739" s="93"/>
      <c r="AH739" s="93"/>
      <c r="AI739" s="93"/>
      <c r="AJ739" s="93"/>
    </row>
    <row r="740" spans="30:36" ht="18">
      <c r="AD740" s="93"/>
      <c r="AE740" s="214"/>
      <c r="AF740" s="93"/>
      <c r="AG740" s="93"/>
      <c r="AH740" s="93"/>
      <c r="AI740" s="93"/>
      <c r="AJ740" s="93"/>
    </row>
    <row r="741" spans="30:36" ht="18">
      <c r="AD741" s="93"/>
      <c r="AE741" s="214"/>
      <c r="AF741" s="93"/>
      <c r="AG741" s="93"/>
      <c r="AH741" s="93"/>
      <c r="AI741" s="93"/>
      <c r="AJ741" s="93"/>
    </row>
    <row r="742" spans="30:36" ht="18">
      <c r="AD742" s="93"/>
      <c r="AE742" s="214"/>
      <c r="AF742" s="93"/>
      <c r="AG742" s="93"/>
      <c r="AH742" s="93"/>
      <c r="AI742" s="93"/>
      <c r="AJ742" s="93"/>
    </row>
    <row r="743" spans="30:36" ht="18">
      <c r="AD743" s="93"/>
      <c r="AE743" s="214"/>
      <c r="AF743" s="93"/>
      <c r="AG743" s="93"/>
      <c r="AH743" s="93"/>
      <c r="AI743" s="93"/>
      <c r="AJ743" s="93"/>
    </row>
    <row r="744" spans="30:36" ht="18">
      <c r="AD744" s="93"/>
      <c r="AE744" s="214"/>
      <c r="AF744" s="93"/>
      <c r="AG744" s="93"/>
      <c r="AH744" s="93"/>
      <c r="AI744" s="93"/>
      <c r="AJ744" s="93"/>
    </row>
    <row r="745" spans="30:36" ht="18">
      <c r="AD745" s="93"/>
      <c r="AE745" s="214"/>
      <c r="AF745" s="93"/>
      <c r="AG745" s="93"/>
      <c r="AH745" s="93"/>
      <c r="AI745" s="93"/>
      <c r="AJ745" s="93"/>
    </row>
    <row r="746" spans="30:36" ht="18">
      <c r="AD746" s="93"/>
      <c r="AE746" s="214"/>
      <c r="AF746" s="93"/>
      <c r="AG746" s="93"/>
      <c r="AH746" s="93"/>
      <c r="AI746" s="93"/>
      <c r="AJ746" s="93"/>
    </row>
    <row r="747" spans="30:36" ht="18">
      <c r="AD747" s="93"/>
      <c r="AE747" s="214"/>
      <c r="AF747" s="93"/>
      <c r="AG747" s="93"/>
      <c r="AH747" s="93"/>
      <c r="AI747" s="93"/>
      <c r="AJ747" s="93"/>
    </row>
    <row r="748" spans="30:36" ht="18">
      <c r="AD748" s="93"/>
      <c r="AE748" s="214"/>
      <c r="AF748" s="93"/>
      <c r="AG748" s="93"/>
      <c r="AH748" s="93"/>
      <c r="AI748" s="93"/>
      <c r="AJ748" s="93"/>
    </row>
    <row r="749" spans="30:36" ht="18">
      <c r="AD749" s="93"/>
      <c r="AE749" s="214"/>
      <c r="AF749" s="93"/>
      <c r="AG749" s="93"/>
      <c r="AH749" s="93"/>
      <c r="AI749" s="93"/>
      <c r="AJ749" s="93"/>
    </row>
    <row r="750" spans="30:36" ht="18">
      <c r="AD750" s="93"/>
      <c r="AE750" s="214"/>
      <c r="AF750" s="93"/>
      <c r="AG750" s="93"/>
      <c r="AH750" s="93"/>
      <c r="AI750" s="93"/>
      <c r="AJ750" s="93"/>
    </row>
    <row r="751" spans="30:36" ht="18">
      <c r="AD751" s="93"/>
      <c r="AE751" s="214"/>
      <c r="AF751" s="93"/>
      <c r="AG751" s="93"/>
      <c r="AH751" s="93"/>
      <c r="AI751" s="93"/>
      <c r="AJ751" s="93"/>
    </row>
    <row r="752" spans="30:36" ht="18">
      <c r="AD752" s="93"/>
      <c r="AE752" s="214"/>
      <c r="AF752" s="93"/>
      <c r="AG752" s="93"/>
      <c r="AH752" s="93"/>
      <c r="AI752" s="93"/>
      <c r="AJ752" s="93"/>
    </row>
    <row r="753" spans="30:36" ht="18">
      <c r="AD753" s="93"/>
      <c r="AE753" s="214"/>
      <c r="AF753" s="93"/>
      <c r="AG753" s="93"/>
      <c r="AH753" s="93"/>
      <c r="AI753" s="93"/>
      <c r="AJ753" s="93"/>
    </row>
    <row r="754" spans="30:36" ht="18">
      <c r="AD754" s="93"/>
      <c r="AE754" s="214"/>
      <c r="AF754" s="93"/>
      <c r="AG754" s="93"/>
      <c r="AH754" s="93"/>
      <c r="AI754" s="93"/>
      <c r="AJ754" s="93"/>
    </row>
    <row r="755" spans="30:36" ht="18">
      <c r="AD755" s="93"/>
      <c r="AE755" s="214"/>
      <c r="AF755" s="93"/>
      <c r="AG755" s="93"/>
      <c r="AH755" s="93"/>
      <c r="AI755" s="93"/>
      <c r="AJ755" s="93"/>
    </row>
    <row r="756" spans="30:36" ht="18">
      <c r="AD756" s="93"/>
      <c r="AE756" s="214"/>
      <c r="AF756" s="93"/>
      <c r="AG756" s="93"/>
      <c r="AH756" s="93"/>
      <c r="AI756" s="93"/>
      <c r="AJ756" s="93"/>
    </row>
    <row r="757" spans="30:36" ht="18">
      <c r="AD757" s="93"/>
      <c r="AE757" s="214"/>
      <c r="AF757" s="93"/>
      <c r="AG757" s="93"/>
      <c r="AH757" s="93"/>
      <c r="AI757" s="93"/>
      <c r="AJ757" s="93"/>
    </row>
    <row r="758" spans="30:36" ht="18">
      <c r="AD758" s="93"/>
      <c r="AE758" s="214"/>
      <c r="AF758" s="93"/>
      <c r="AG758" s="93"/>
      <c r="AH758" s="93"/>
      <c r="AI758" s="93"/>
      <c r="AJ758" s="93"/>
    </row>
    <row r="759" spans="30:36" ht="18">
      <c r="AD759" s="93"/>
      <c r="AE759" s="214"/>
      <c r="AF759" s="93"/>
      <c r="AG759" s="93"/>
      <c r="AH759" s="93"/>
      <c r="AI759" s="93"/>
      <c r="AJ759" s="93"/>
    </row>
    <row r="760" spans="30:36" ht="18">
      <c r="AD760" s="93"/>
      <c r="AE760" s="214"/>
      <c r="AF760" s="93"/>
      <c r="AG760" s="93"/>
      <c r="AH760" s="93"/>
      <c r="AI760" s="93"/>
      <c r="AJ760" s="93"/>
    </row>
    <row r="761" spans="30:36" ht="18">
      <c r="AD761" s="93"/>
      <c r="AE761" s="214"/>
      <c r="AF761" s="93"/>
      <c r="AG761" s="93"/>
      <c r="AH761" s="93"/>
      <c r="AI761" s="93"/>
      <c r="AJ761" s="93"/>
    </row>
    <row r="762" spans="30:36" ht="18">
      <c r="AD762" s="93"/>
      <c r="AE762" s="214"/>
      <c r="AF762" s="93"/>
      <c r="AG762" s="93"/>
      <c r="AH762" s="93"/>
      <c r="AI762" s="93"/>
      <c r="AJ762" s="93"/>
    </row>
    <row r="763" spans="30:36" ht="18">
      <c r="AD763" s="93"/>
      <c r="AE763" s="214"/>
      <c r="AF763" s="93"/>
      <c r="AG763" s="93"/>
      <c r="AH763" s="93"/>
      <c r="AI763" s="93"/>
      <c r="AJ763" s="93"/>
    </row>
    <row r="764" spans="30:36" ht="18">
      <c r="AD764" s="93"/>
      <c r="AE764" s="214"/>
      <c r="AF764" s="93"/>
      <c r="AG764" s="93"/>
      <c r="AH764" s="93"/>
      <c r="AI764" s="93"/>
      <c r="AJ764" s="93"/>
    </row>
    <row r="765" spans="30:36" ht="18">
      <c r="AD765" s="93"/>
      <c r="AE765" s="214"/>
      <c r="AF765" s="93"/>
      <c r="AG765" s="93"/>
      <c r="AH765" s="93"/>
      <c r="AI765" s="93"/>
      <c r="AJ765" s="93"/>
    </row>
    <row r="766" spans="30:36" ht="18">
      <c r="AD766" s="93"/>
      <c r="AE766" s="214"/>
      <c r="AF766" s="93"/>
      <c r="AG766" s="93"/>
      <c r="AH766" s="93"/>
      <c r="AI766" s="93"/>
      <c r="AJ766" s="93"/>
    </row>
    <row r="767" spans="30:36" ht="18">
      <c r="AD767" s="93"/>
      <c r="AE767" s="214"/>
      <c r="AF767" s="93"/>
      <c r="AG767" s="93"/>
      <c r="AH767" s="93"/>
      <c r="AI767" s="93"/>
      <c r="AJ767" s="93"/>
    </row>
    <row r="768" spans="30:36" ht="18">
      <c r="AD768" s="93"/>
      <c r="AE768" s="214"/>
      <c r="AF768" s="93"/>
      <c r="AG768" s="93"/>
      <c r="AH768" s="93"/>
      <c r="AI768" s="93"/>
      <c r="AJ768" s="93"/>
    </row>
    <row r="769" spans="30:36" ht="18">
      <c r="AD769" s="93"/>
      <c r="AE769" s="214"/>
      <c r="AF769" s="93"/>
      <c r="AG769" s="93"/>
      <c r="AH769" s="93"/>
      <c r="AI769" s="93"/>
      <c r="AJ769" s="93"/>
    </row>
    <row r="770" spans="30:36" ht="18">
      <c r="AD770" s="93"/>
      <c r="AE770" s="214"/>
      <c r="AF770" s="93"/>
      <c r="AG770" s="93"/>
      <c r="AH770" s="93"/>
      <c r="AI770" s="93"/>
      <c r="AJ770" s="93"/>
    </row>
    <row r="771" spans="30:36" ht="18">
      <c r="AD771" s="93"/>
      <c r="AE771" s="214"/>
      <c r="AF771" s="93"/>
      <c r="AG771" s="93"/>
      <c r="AH771" s="93"/>
      <c r="AI771" s="93"/>
      <c r="AJ771" s="93"/>
    </row>
    <row r="772" spans="30:36" ht="18">
      <c r="AD772" s="93"/>
      <c r="AE772" s="214"/>
      <c r="AF772" s="93"/>
      <c r="AG772" s="93"/>
      <c r="AH772" s="93"/>
      <c r="AI772" s="93"/>
      <c r="AJ772" s="93"/>
    </row>
    <row r="773" spans="30:36" ht="18">
      <c r="AD773" s="93"/>
      <c r="AE773" s="214"/>
      <c r="AF773" s="93"/>
      <c r="AG773" s="93"/>
      <c r="AH773" s="93"/>
      <c r="AI773" s="93"/>
      <c r="AJ773" s="93"/>
    </row>
    <row r="774" spans="30:36" ht="18">
      <c r="AD774" s="93"/>
      <c r="AE774" s="214"/>
      <c r="AF774" s="93"/>
      <c r="AG774" s="93"/>
      <c r="AH774" s="93"/>
      <c r="AI774" s="93"/>
      <c r="AJ774" s="93"/>
    </row>
    <row r="775" spans="30:36" ht="18">
      <c r="AD775" s="93"/>
      <c r="AE775" s="214"/>
      <c r="AF775" s="93"/>
      <c r="AG775" s="93"/>
      <c r="AH775" s="93"/>
      <c r="AI775" s="93"/>
      <c r="AJ775" s="93"/>
    </row>
    <row r="776" spans="30:36" ht="18">
      <c r="AD776" s="93"/>
      <c r="AE776" s="214"/>
      <c r="AF776" s="93"/>
      <c r="AG776" s="93"/>
      <c r="AH776" s="93"/>
      <c r="AI776" s="93"/>
      <c r="AJ776" s="93"/>
    </row>
    <row r="777" spans="30:36" ht="18">
      <c r="AD777" s="93"/>
      <c r="AE777" s="214"/>
      <c r="AF777" s="93"/>
      <c r="AG777" s="93"/>
      <c r="AH777" s="93"/>
      <c r="AI777" s="93"/>
      <c r="AJ777" s="93"/>
    </row>
    <row r="778" spans="30:36" ht="18">
      <c r="AD778" s="93"/>
      <c r="AE778" s="215"/>
      <c r="AF778" s="93"/>
      <c r="AG778" s="93"/>
      <c r="AH778" s="93"/>
      <c r="AI778" s="93"/>
      <c r="AJ778" s="93"/>
    </row>
    <row r="779" spans="30:36" ht="18">
      <c r="AD779" s="93"/>
      <c r="AE779" s="215"/>
      <c r="AF779" s="93"/>
      <c r="AG779" s="93"/>
      <c r="AH779" s="93"/>
      <c r="AI779" s="93"/>
      <c r="AJ779" s="93"/>
    </row>
    <row r="780" spans="30:36" ht="18">
      <c r="AD780" s="93"/>
      <c r="AE780" s="215"/>
      <c r="AF780" s="93"/>
      <c r="AG780" s="93"/>
      <c r="AH780" s="93"/>
      <c r="AI780" s="93"/>
      <c r="AJ780" s="93"/>
    </row>
    <row r="781" spans="30:36" ht="18">
      <c r="AD781" s="93"/>
      <c r="AE781" s="214"/>
      <c r="AF781" s="93"/>
      <c r="AG781" s="93"/>
      <c r="AH781" s="93"/>
      <c r="AI781" s="93"/>
      <c r="AJ781" s="93"/>
    </row>
    <row r="782" spans="30:36" ht="18">
      <c r="AD782" s="93"/>
      <c r="AE782" s="214"/>
      <c r="AF782" s="93"/>
      <c r="AG782" s="93"/>
      <c r="AH782" s="93"/>
      <c r="AI782" s="93"/>
      <c r="AJ782" s="93"/>
    </row>
    <row r="783" spans="30:36" ht="18">
      <c r="AD783" s="93"/>
      <c r="AE783" s="214"/>
      <c r="AF783" s="93"/>
      <c r="AG783" s="93"/>
      <c r="AH783" s="93"/>
      <c r="AI783" s="93"/>
      <c r="AJ783" s="93"/>
    </row>
    <row r="784" spans="30:36" ht="18">
      <c r="AD784" s="93"/>
      <c r="AE784" s="215"/>
      <c r="AF784" s="93"/>
      <c r="AG784" s="93"/>
      <c r="AH784" s="93"/>
      <c r="AI784" s="93"/>
      <c r="AJ784" s="93"/>
    </row>
    <row r="785" spans="30:36" ht="18">
      <c r="AD785" s="93"/>
      <c r="AE785" s="215"/>
      <c r="AF785" s="93"/>
      <c r="AG785" s="93"/>
      <c r="AH785" s="93"/>
      <c r="AI785" s="93"/>
      <c r="AJ785" s="93"/>
    </row>
    <row r="786" spans="30:36" ht="18">
      <c r="AD786" s="93"/>
      <c r="AE786" s="215"/>
      <c r="AF786" s="93"/>
      <c r="AG786" s="93"/>
      <c r="AH786" s="93"/>
      <c r="AI786" s="93"/>
      <c r="AJ786" s="93"/>
    </row>
    <row r="787" spans="30:36" ht="18">
      <c r="AD787" s="93"/>
      <c r="AE787" s="214"/>
      <c r="AF787" s="93"/>
      <c r="AG787" s="93"/>
      <c r="AH787" s="93"/>
      <c r="AI787" s="93"/>
      <c r="AJ787" s="93"/>
    </row>
    <row r="788" spans="30:36" ht="18">
      <c r="AD788" s="93"/>
      <c r="AE788" s="214"/>
      <c r="AF788" s="93"/>
      <c r="AG788" s="93"/>
      <c r="AH788" s="93"/>
      <c r="AI788" s="93"/>
      <c r="AJ788" s="93"/>
    </row>
    <row r="789" spans="30:36" ht="18">
      <c r="AD789" s="93"/>
      <c r="AE789" s="215"/>
      <c r="AF789" s="93"/>
      <c r="AG789" s="93"/>
      <c r="AH789" s="93"/>
      <c r="AI789" s="93"/>
      <c r="AJ789" s="93"/>
    </row>
    <row r="790" spans="30:36" ht="18">
      <c r="AD790" s="93"/>
      <c r="AE790" s="214"/>
      <c r="AF790" s="93"/>
      <c r="AG790" s="93"/>
      <c r="AH790" s="93"/>
      <c r="AI790" s="93"/>
      <c r="AJ790" s="93"/>
    </row>
    <row r="791" spans="30:36" ht="18">
      <c r="AD791" s="93"/>
      <c r="AE791" s="214"/>
      <c r="AF791" s="93"/>
      <c r="AG791" s="93"/>
      <c r="AH791" s="93"/>
      <c r="AI791" s="93"/>
      <c r="AJ791" s="93"/>
    </row>
    <row r="792" spans="30:36" ht="18">
      <c r="AD792" s="93"/>
      <c r="AE792" s="215"/>
      <c r="AF792" s="93"/>
      <c r="AG792" s="93"/>
      <c r="AH792" s="93"/>
      <c r="AI792" s="93"/>
      <c r="AJ792" s="93"/>
    </row>
    <row r="793" spans="30:36" ht="18">
      <c r="AD793" s="93"/>
      <c r="AE793" s="214"/>
      <c r="AF793" s="93"/>
      <c r="AG793" s="93"/>
      <c r="AH793" s="93"/>
      <c r="AI793" s="93"/>
      <c r="AJ793" s="93"/>
    </row>
    <row r="794" spans="30:36" ht="18">
      <c r="AD794" s="93"/>
      <c r="AE794" s="214"/>
      <c r="AF794" s="93"/>
      <c r="AG794" s="93"/>
      <c r="AH794" s="93"/>
      <c r="AI794" s="93"/>
      <c r="AJ794" s="93"/>
    </row>
    <row r="795" spans="30:36" ht="18">
      <c r="AD795" s="93"/>
      <c r="AE795" s="215"/>
      <c r="AF795" s="93"/>
      <c r="AG795" s="93"/>
      <c r="AH795" s="93"/>
      <c r="AI795" s="93"/>
      <c r="AJ795" s="93"/>
    </row>
    <row r="796" spans="30:36" ht="18">
      <c r="AD796" s="93"/>
      <c r="AE796" s="214"/>
      <c r="AF796" s="93"/>
      <c r="AG796" s="93"/>
      <c r="AH796" s="93"/>
      <c r="AI796" s="93"/>
      <c r="AJ796" s="93"/>
    </row>
    <row r="797" spans="30:36" ht="18">
      <c r="AD797" s="93"/>
      <c r="AE797" s="214"/>
      <c r="AF797" s="93"/>
      <c r="AG797" s="93"/>
      <c r="AH797" s="93"/>
      <c r="AI797" s="93"/>
      <c r="AJ797" s="93"/>
    </row>
    <row r="798" spans="30:36" ht="18">
      <c r="AD798" s="93"/>
      <c r="AE798" s="215"/>
      <c r="AF798" s="93"/>
      <c r="AG798" s="93"/>
      <c r="AH798" s="93"/>
      <c r="AI798" s="93"/>
      <c r="AJ798" s="93"/>
    </row>
    <row r="799" spans="30:36" ht="18">
      <c r="AD799" s="93"/>
      <c r="AE799" s="214"/>
      <c r="AF799" s="93"/>
      <c r="AG799" s="93"/>
      <c r="AH799" s="93"/>
      <c r="AI799" s="93"/>
      <c r="AJ799" s="93"/>
    </row>
    <row r="800" spans="30:36" ht="18">
      <c r="AD800" s="93"/>
      <c r="AE800" s="214"/>
      <c r="AF800" s="93"/>
      <c r="AG800" s="93"/>
      <c r="AH800" s="93"/>
      <c r="AI800" s="93"/>
      <c r="AJ800" s="93"/>
    </row>
    <row r="801" spans="30:36" ht="18">
      <c r="AD801" s="93"/>
      <c r="AE801" s="214"/>
      <c r="AF801" s="93"/>
      <c r="AG801" s="93"/>
      <c r="AH801" s="93"/>
      <c r="AI801" s="93"/>
      <c r="AJ801" s="93"/>
    </row>
    <row r="802" spans="30:36" ht="18">
      <c r="AD802" s="93"/>
      <c r="AE802" s="214"/>
      <c r="AF802" s="93"/>
      <c r="AG802" s="93"/>
      <c r="AH802" s="93"/>
      <c r="AI802" s="93"/>
      <c r="AJ802" s="93"/>
    </row>
    <row r="803" spans="30:36" ht="18">
      <c r="AD803" s="93"/>
      <c r="AE803" s="214"/>
      <c r="AF803" s="93"/>
      <c r="AG803" s="93"/>
      <c r="AH803" s="93"/>
      <c r="AI803" s="93"/>
      <c r="AJ803" s="93"/>
    </row>
    <row r="804" spans="30:36" ht="18">
      <c r="AD804" s="93"/>
      <c r="AE804" s="215"/>
      <c r="AF804" s="93"/>
      <c r="AG804" s="93"/>
      <c r="AH804" s="93"/>
      <c r="AI804" s="93"/>
      <c r="AJ804" s="93"/>
    </row>
    <row r="805" spans="30:36" ht="18">
      <c r="AD805" s="93"/>
      <c r="AE805" s="215"/>
      <c r="AF805" s="93"/>
      <c r="AG805" s="93"/>
      <c r="AH805" s="93"/>
      <c r="AI805" s="93"/>
      <c r="AJ805" s="93"/>
    </row>
    <row r="806" spans="30:36" ht="18">
      <c r="AD806" s="93"/>
      <c r="AE806" s="214"/>
      <c r="AF806" s="93"/>
      <c r="AG806" s="93"/>
      <c r="AH806" s="93"/>
      <c r="AI806" s="93"/>
      <c r="AJ806" s="93"/>
    </row>
    <row r="807" spans="30:36" ht="18">
      <c r="AD807" s="93"/>
      <c r="AE807" s="214"/>
      <c r="AF807" s="93"/>
      <c r="AG807" s="93"/>
      <c r="AH807" s="93"/>
      <c r="AI807" s="93"/>
      <c r="AJ807" s="93"/>
    </row>
    <row r="808" spans="30:36" ht="18">
      <c r="AD808" s="93"/>
      <c r="AE808" s="214"/>
      <c r="AF808" s="93"/>
      <c r="AG808" s="93"/>
      <c r="AH808" s="93"/>
      <c r="AI808" s="93"/>
      <c r="AJ808" s="93"/>
    </row>
    <row r="809" spans="30:36" ht="18">
      <c r="AD809" s="93"/>
      <c r="AE809" s="214"/>
      <c r="AF809" s="93"/>
      <c r="AG809" s="93"/>
      <c r="AH809" s="93"/>
      <c r="AI809" s="93"/>
      <c r="AJ809" s="93"/>
    </row>
    <row r="810" spans="30:36" ht="18">
      <c r="AD810" s="93"/>
      <c r="AE810" s="214"/>
      <c r="AF810" s="93"/>
      <c r="AG810" s="93"/>
      <c r="AH810" s="93"/>
      <c r="AI810" s="93"/>
      <c r="AJ810" s="93"/>
    </row>
    <row r="811" spans="30:36" ht="18">
      <c r="AD811" s="93"/>
      <c r="AE811" s="214"/>
      <c r="AF811" s="93"/>
      <c r="AG811" s="93"/>
      <c r="AH811" s="93"/>
      <c r="AI811" s="93"/>
      <c r="AJ811" s="93"/>
    </row>
    <row r="812" spans="30:36" ht="18">
      <c r="AD812" s="93"/>
      <c r="AE812" s="214"/>
      <c r="AF812" s="93"/>
      <c r="AG812" s="93"/>
      <c r="AH812" s="93"/>
      <c r="AI812" s="93"/>
      <c r="AJ812" s="93"/>
    </row>
    <row r="813" spans="30:36" ht="18">
      <c r="AD813" s="93"/>
      <c r="AE813" s="214"/>
      <c r="AF813" s="93"/>
      <c r="AG813" s="93"/>
      <c r="AH813" s="93"/>
      <c r="AI813" s="93"/>
      <c r="AJ813" s="93"/>
    </row>
    <row r="814" spans="30:36" ht="18">
      <c r="AD814" s="93"/>
      <c r="AE814" s="214"/>
      <c r="AF814" s="93"/>
      <c r="AG814" s="93"/>
      <c r="AH814" s="93"/>
      <c r="AI814" s="93"/>
      <c r="AJ814" s="93"/>
    </row>
    <row r="815" spans="30:36" ht="18">
      <c r="AD815" s="93"/>
      <c r="AE815" s="214"/>
      <c r="AF815" s="93"/>
      <c r="AG815" s="93"/>
      <c r="AH815" s="93"/>
      <c r="AI815" s="93"/>
      <c r="AJ815" s="93"/>
    </row>
    <row r="816" spans="30:36" ht="18">
      <c r="AD816" s="93"/>
      <c r="AE816" s="214"/>
      <c r="AF816" s="93"/>
      <c r="AG816" s="93"/>
      <c r="AH816" s="93"/>
      <c r="AI816" s="93"/>
      <c r="AJ816" s="93"/>
    </row>
    <row r="817" spans="30:36" ht="18">
      <c r="AD817" s="93"/>
      <c r="AE817" s="214"/>
      <c r="AF817" s="93"/>
      <c r="AG817" s="93"/>
      <c r="AH817" s="93"/>
      <c r="AI817" s="93"/>
      <c r="AJ817" s="93"/>
    </row>
    <row r="818" spans="30:36" ht="18">
      <c r="AD818" s="93"/>
      <c r="AE818" s="214"/>
      <c r="AF818" s="93"/>
      <c r="AG818" s="93"/>
      <c r="AH818" s="93"/>
      <c r="AI818" s="93"/>
      <c r="AJ818" s="93"/>
    </row>
    <row r="819" spans="30:36" ht="18">
      <c r="AD819" s="93"/>
      <c r="AE819" s="214"/>
      <c r="AF819" s="93"/>
      <c r="AG819" s="93"/>
      <c r="AH819" s="93"/>
      <c r="AI819" s="93"/>
      <c r="AJ819" s="93"/>
    </row>
    <row r="820" spans="30:36" ht="18">
      <c r="AD820" s="93"/>
      <c r="AE820" s="214"/>
      <c r="AF820" s="93"/>
      <c r="AG820" s="93"/>
      <c r="AH820" s="93"/>
      <c r="AI820" s="93"/>
      <c r="AJ820" s="93"/>
    </row>
    <row r="821" spans="30:36" ht="18">
      <c r="AD821" s="93"/>
      <c r="AE821" s="214"/>
      <c r="AF821" s="93"/>
      <c r="AG821" s="93"/>
      <c r="AH821" s="93"/>
      <c r="AI821" s="93"/>
      <c r="AJ821" s="93"/>
    </row>
    <row r="822" spans="30:36" ht="18">
      <c r="AD822" s="93"/>
      <c r="AE822" s="214"/>
      <c r="AF822" s="93"/>
      <c r="AG822" s="93"/>
      <c r="AH822" s="93"/>
      <c r="AI822" s="93"/>
      <c r="AJ822" s="93"/>
    </row>
    <row r="823" spans="30:36" ht="18">
      <c r="AD823" s="93"/>
      <c r="AE823" s="214"/>
      <c r="AF823" s="93"/>
      <c r="AG823" s="93"/>
      <c r="AH823" s="93"/>
      <c r="AI823" s="93"/>
      <c r="AJ823" s="93"/>
    </row>
    <row r="824" spans="30:36" ht="18">
      <c r="AD824" s="93"/>
      <c r="AE824" s="214"/>
      <c r="AF824" s="93"/>
      <c r="AG824" s="93"/>
      <c r="AH824" s="93"/>
      <c r="AI824" s="93"/>
      <c r="AJ824" s="93"/>
    </row>
    <row r="825" spans="30:36" ht="18">
      <c r="AD825" s="93"/>
      <c r="AE825" s="214"/>
      <c r="AF825" s="93"/>
      <c r="AG825" s="93"/>
      <c r="AH825" s="93"/>
      <c r="AI825" s="93"/>
      <c r="AJ825" s="93"/>
    </row>
    <row r="826" spans="30:36" ht="18">
      <c r="AD826" s="93"/>
      <c r="AE826" s="214"/>
      <c r="AF826" s="93"/>
      <c r="AG826" s="93"/>
      <c r="AH826" s="93"/>
      <c r="AI826" s="93"/>
      <c r="AJ826" s="93"/>
    </row>
    <row r="827" spans="30:36" ht="18">
      <c r="AD827" s="93"/>
      <c r="AE827" s="214"/>
      <c r="AF827" s="93"/>
      <c r="AG827" s="93"/>
      <c r="AH827" s="93"/>
      <c r="AI827" s="93"/>
      <c r="AJ827" s="93"/>
    </row>
    <row r="828" spans="30:36" ht="18">
      <c r="AD828" s="93"/>
      <c r="AE828" s="214"/>
      <c r="AF828" s="93"/>
      <c r="AG828" s="93"/>
      <c r="AH828" s="93"/>
      <c r="AI828" s="93"/>
      <c r="AJ828" s="93"/>
    </row>
    <row r="829" spans="30:36" ht="18">
      <c r="AD829" s="93"/>
      <c r="AE829" s="214"/>
      <c r="AF829" s="93"/>
      <c r="AG829" s="93"/>
      <c r="AH829" s="93"/>
      <c r="AI829" s="93"/>
      <c r="AJ829" s="93"/>
    </row>
    <row r="830" spans="30:36" ht="18">
      <c r="AD830" s="93"/>
      <c r="AE830" s="214"/>
      <c r="AF830" s="93"/>
      <c r="AG830" s="93"/>
      <c r="AH830" s="93"/>
      <c r="AI830" s="93"/>
      <c r="AJ830" s="93"/>
    </row>
    <row r="831" spans="30:36" ht="18">
      <c r="AD831" s="93"/>
      <c r="AE831" s="214"/>
      <c r="AF831" s="93"/>
      <c r="AG831" s="93"/>
      <c r="AH831" s="93"/>
      <c r="AI831" s="93"/>
      <c r="AJ831" s="93"/>
    </row>
    <row r="832" spans="30:36" ht="18">
      <c r="AD832" s="93"/>
      <c r="AE832" s="214"/>
      <c r="AF832" s="93"/>
      <c r="AG832" s="93"/>
      <c r="AH832" s="93"/>
      <c r="AI832" s="93"/>
      <c r="AJ832" s="93"/>
    </row>
    <row r="833" spans="30:36" ht="18">
      <c r="AD833" s="93"/>
      <c r="AE833" s="214"/>
      <c r="AF833" s="93"/>
      <c r="AG833" s="93"/>
      <c r="AH833" s="93"/>
      <c r="AI833" s="93"/>
      <c r="AJ833" s="93"/>
    </row>
    <row r="834" spans="30:36" ht="18">
      <c r="AD834" s="93"/>
      <c r="AE834" s="214"/>
      <c r="AF834" s="93"/>
      <c r="AG834" s="93"/>
      <c r="AH834" s="93"/>
      <c r="AI834" s="93"/>
      <c r="AJ834" s="93"/>
    </row>
    <row r="835" spans="30:36" ht="18">
      <c r="AD835" s="93"/>
      <c r="AE835" s="214"/>
      <c r="AF835" s="93"/>
      <c r="AG835" s="93"/>
      <c r="AH835" s="93"/>
      <c r="AI835" s="93"/>
      <c r="AJ835" s="93"/>
    </row>
    <row r="836" spans="30:36" ht="18">
      <c r="AD836" s="93"/>
      <c r="AE836" s="214"/>
      <c r="AF836" s="93"/>
      <c r="AG836" s="93"/>
      <c r="AH836" s="93"/>
      <c r="AI836" s="93"/>
      <c r="AJ836" s="93"/>
    </row>
    <row r="837" spans="30:36" ht="18">
      <c r="AD837" s="93"/>
      <c r="AE837" s="214"/>
      <c r="AF837" s="93"/>
      <c r="AG837" s="93"/>
      <c r="AH837" s="93"/>
      <c r="AI837" s="93"/>
      <c r="AJ837" s="93"/>
    </row>
    <row r="838" spans="30:36" ht="18">
      <c r="AD838" s="93"/>
      <c r="AE838" s="214"/>
      <c r="AF838" s="93"/>
      <c r="AG838" s="93"/>
      <c r="AH838" s="93"/>
      <c r="AI838" s="93"/>
      <c r="AJ838" s="93"/>
    </row>
    <row r="839" spans="30:36" ht="18">
      <c r="AD839" s="93"/>
      <c r="AE839" s="214"/>
      <c r="AF839" s="93"/>
      <c r="AG839" s="93"/>
      <c r="AH839" s="93"/>
      <c r="AI839" s="93"/>
      <c r="AJ839" s="93"/>
    </row>
    <row r="840" spans="30:36" ht="18">
      <c r="AD840" s="93"/>
      <c r="AE840" s="214"/>
      <c r="AF840" s="93"/>
      <c r="AG840" s="93"/>
      <c r="AH840" s="93"/>
      <c r="AI840" s="93"/>
      <c r="AJ840" s="93"/>
    </row>
    <row r="841" spans="30:36" ht="18">
      <c r="AD841" s="93"/>
      <c r="AE841" s="214"/>
      <c r="AF841" s="93"/>
      <c r="AG841" s="93"/>
      <c r="AH841" s="93"/>
      <c r="AI841" s="93"/>
      <c r="AJ841" s="93"/>
    </row>
    <row r="842" spans="30:36" ht="18">
      <c r="AD842" s="93"/>
      <c r="AE842" s="214"/>
      <c r="AF842" s="93"/>
      <c r="AG842" s="93"/>
      <c r="AH842" s="93"/>
      <c r="AI842" s="93"/>
      <c r="AJ842" s="93"/>
    </row>
    <row r="843" spans="30:36" ht="18">
      <c r="AD843" s="93"/>
      <c r="AE843" s="214"/>
      <c r="AF843" s="93"/>
      <c r="AG843" s="93"/>
      <c r="AH843" s="93"/>
      <c r="AI843" s="93"/>
      <c r="AJ843" s="93"/>
    </row>
    <row r="844" spans="30:36" ht="18">
      <c r="AD844" s="93"/>
      <c r="AE844" s="215"/>
      <c r="AF844" s="93"/>
      <c r="AG844" s="93"/>
      <c r="AH844" s="93"/>
      <c r="AI844" s="93"/>
      <c r="AJ844" s="93"/>
    </row>
    <row r="845" spans="30:36" ht="18">
      <c r="AD845" s="93"/>
      <c r="AE845" s="215"/>
      <c r="AF845" s="93"/>
      <c r="AG845" s="93"/>
      <c r="AH845" s="93"/>
      <c r="AI845" s="93"/>
      <c r="AJ845" s="93"/>
    </row>
    <row r="846" spans="30:36" ht="18">
      <c r="AD846" s="93"/>
      <c r="AE846" s="214"/>
      <c r="AF846" s="93"/>
      <c r="AG846" s="93"/>
      <c r="AH846" s="93"/>
      <c r="AI846" s="93"/>
      <c r="AJ846" s="93"/>
    </row>
    <row r="847" spans="30:36" ht="18">
      <c r="AD847" s="93"/>
      <c r="AE847" s="214"/>
      <c r="AF847" s="93"/>
      <c r="AG847" s="93"/>
      <c r="AH847" s="93"/>
      <c r="AI847" s="93"/>
      <c r="AJ847" s="93"/>
    </row>
    <row r="848" spans="30:36" ht="18">
      <c r="AD848" s="93"/>
      <c r="AE848" s="214"/>
      <c r="AF848" s="93"/>
      <c r="AG848" s="93"/>
      <c r="AH848" s="93"/>
      <c r="AI848" s="93"/>
      <c r="AJ848" s="93"/>
    </row>
    <row r="849" spans="30:36" ht="18">
      <c r="AD849" s="93"/>
      <c r="AE849" s="214"/>
      <c r="AF849" s="93"/>
      <c r="AG849" s="93"/>
      <c r="AH849" s="93"/>
      <c r="AI849" s="93"/>
      <c r="AJ849" s="93"/>
    </row>
    <row r="850" spans="30:36" ht="18">
      <c r="AD850" s="93"/>
      <c r="AE850" s="214"/>
      <c r="AF850" s="93"/>
      <c r="AG850" s="93"/>
      <c r="AH850" s="93"/>
      <c r="AI850" s="93"/>
      <c r="AJ850" s="93"/>
    </row>
    <row r="851" spans="30:36" ht="18">
      <c r="AD851" s="93"/>
      <c r="AE851" s="214"/>
      <c r="AF851" s="93"/>
      <c r="AG851" s="93"/>
      <c r="AH851" s="93"/>
      <c r="AI851" s="93"/>
      <c r="AJ851" s="93"/>
    </row>
    <row r="852" spans="30:36" ht="18">
      <c r="AD852" s="93"/>
      <c r="AE852" s="214"/>
      <c r="AF852" s="93"/>
      <c r="AG852" s="93"/>
      <c r="AH852" s="93"/>
      <c r="AI852" s="93"/>
      <c r="AJ852" s="93"/>
    </row>
    <row r="853" spans="30:36" ht="18">
      <c r="AD853" s="93"/>
      <c r="AE853" s="214"/>
      <c r="AF853" s="93"/>
      <c r="AG853" s="93"/>
      <c r="AH853" s="93"/>
      <c r="AI853" s="93"/>
      <c r="AJ853" s="93"/>
    </row>
    <row r="854" spans="30:36" ht="18">
      <c r="AD854" s="93"/>
      <c r="AE854" s="214"/>
      <c r="AF854" s="93"/>
      <c r="AG854" s="93"/>
      <c r="AH854" s="93"/>
      <c r="AI854" s="93"/>
      <c r="AJ854" s="93"/>
    </row>
    <row r="855" spans="30:36" ht="18">
      <c r="AD855" s="93"/>
      <c r="AE855" s="214"/>
      <c r="AF855" s="93"/>
      <c r="AG855" s="93"/>
      <c r="AH855" s="93"/>
      <c r="AI855" s="93"/>
      <c r="AJ855" s="93"/>
    </row>
    <row r="856" spans="30:36" ht="18">
      <c r="AD856" s="93"/>
      <c r="AE856" s="214"/>
      <c r="AF856" s="93"/>
      <c r="AG856" s="93"/>
      <c r="AH856" s="93"/>
      <c r="AI856" s="93"/>
      <c r="AJ856" s="93"/>
    </row>
    <row r="857" spans="30:36" ht="18">
      <c r="AD857" s="93"/>
      <c r="AE857" s="214"/>
      <c r="AF857" s="93"/>
      <c r="AG857" s="93"/>
      <c r="AH857" s="93"/>
      <c r="AI857" s="93"/>
      <c r="AJ857" s="93"/>
    </row>
    <row r="858" spans="30:36" ht="18">
      <c r="AD858" s="93"/>
      <c r="AE858" s="214"/>
      <c r="AF858" s="93"/>
      <c r="AG858" s="93"/>
      <c r="AH858" s="93"/>
      <c r="AI858" s="93"/>
      <c r="AJ858" s="93"/>
    </row>
    <row r="859" spans="30:36" ht="18">
      <c r="AD859" s="93"/>
      <c r="AE859" s="214"/>
      <c r="AF859" s="93"/>
      <c r="AG859" s="93"/>
      <c r="AH859" s="93"/>
      <c r="AI859" s="93"/>
      <c r="AJ859" s="93"/>
    </row>
    <row r="860" spans="30:36" ht="18">
      <c r="AD860" s="93"/>
      <c r="AE860" s="214"/>
      <c r="AF860" s="93"/>
      <c r="AG860" s="93"/>
      <c r="AH860" s="93"/>
      <c r="AI860" s="93"/>
      <c r="AJ860" s="93"/>
    </row>
    <row r="861" spans="30:36" ht="18">
      <c r="AD861" s="93"/>
      <c r="AE861" s="214"/>
      <c r="AF861" s="93"/>
      <c r="AG861" s="93"/>
      <c r="AH861" s="93"/>
      <c r="AI861" s="93"/>
      <c r="AJ861" s="93"/>
    </row>
    <row r="862" spans="30:36" ht="18">
      <c r="AD862" s="93"/>
      <c r="AE862" s="214"/>
      <c r="AF862" s="93"/>
      <c r="AG862" s="93"/>
      <c r="AH862" s="93"/>
      <c r="AI862" s="93"/>
      <c r="AJ862" s="93"/>
    </row>
    <row r="863" spans="30:36" ht="18">
      <c r="AD863" s="93"/>
      <c r="AE863" s="214"/>
      <c r="AF863" s="93"/>
      <c r="AG863" s="93"/>
      <c r="AH863" s="93"/>
      <c r="AI863" s="93"/>
      <c r="AJ863" s="93"/>
    </row>
    <row r="864" spans="30:36" ht="18">
      <c r="AD864" s="93"/>
      <c r="AE864" s="214"/>
      <c r="AF864" s="93"/>
      <c r="AG864" s="93"/>
      <c r="AH864" s="93"/>
      <c r="AI864" s="93"/>
      <c r="AJ864" s="93"/>
    </row>
    <row r="865" spans="30:36" ht="18">
      <c r="AD865" s="93"/>
      <c r="AE865" s="215"/>
      <c r="AF865" s="93"/>
      <c r="AG865" s="93"/>
      <c r="AH865" s="93"/>
      <c r="AI865" s="93"/>
      <c r="AJ865" s="93"/>
    </row>
    <row r="866" spans="30:36" ht="18">
      <c r="AD866" s="93"/>
      <c r="AE866" s="215"/>
      <c r="AF866" s="93"/>
      <c r="AG866" s="93"/>
      <c r="AH866" s="93"/>
      <c r="AI866" s="93"/>
      <c r="AJ866" s="93"/>
    </row>
    <row r="867" spans="30:36" ht="18">
      <c r="AD867" s="93"/>
      <c r="AE867" s="214"/>
      <c r="AF867" s="93"/>
      <c r="AG867" s="93"/>
      <c r="AH867" s="93"/>
      <c r="AI867" s="93"/>
      <c r="AJ867" s="93"/>
    </row>
    <row r="868" spans="30:36" ht="18">
      <c r="AD868" s="93"/>
      <c r="AE868" s="214"/>
      <c r="AF868" s="93"/>
      <c r="AG868" s="93"/>
      <c r="AH868" s="93"/>
      <c r="AI868" s="93"/>
      <c r="AJ868" s="93"/>
    </row>
    <row r="869" spans="30:36" ht="18">
      <c r="AD869" s="93"/>
      <c r="AE869" s="214"/>
      <c r="AF869" s="93"/>
      <c r="AG869" s="93"/>
      <c r="AH869" s="93"/>
      <c r="AI869" s="93"/>
      <c r="AJ869" s="93"/>
    </row>
    <row r="870" spans="30:36" ht="18">
      <c r="AD870" s="93"/>
      <c r="AE870" s="215"/>
      <c r="AF870" s="93"/>
      <c r="AG870" s="93"/>
      <c r="AH870" s="93"/>
      <c r="AI870" s="93"/>
      <c r="AJ870" s="93"/>
    </row>
    <row r="871" spans="30:36" ht="18">
      <c r="AD871" s="93"/>
      <c r="AE871" s="214"/>
      <c r="AF871" s="93"/>
      <c r="AG871" s="93"/>
      <c r="AH871" s="93"/>
      <c r="AI871" s="93"/>
      <c r="AJ871" s="93"/>
    </row>
    <row r="872" spans="30:36" ht="18">
      <c r="AD872" s="93"/>
      <c r="AE872" s="214"/>
      <c r="AF872" s="93"/>
      <c r="AG872" s="93"/>
      <c r="AH872" s="93"/>
      <c r="AI872" s="93"/>
      <c r="AJ872" s="93"/>
    </row>
    <row r="873" spans="30:36" ht="18">
      <c r="AD873" s="93"/>
      <c r="AE873" s="214"/>
      <c r="AF873" s="93"/>
      <c r="AG873" s="93"/>
      <c r="AH873" s="93"/>
      <c r="AI873" s="93"/>
      <c r="AJ873" s="93"/>
    </row>
    <row r="874" spans="30:36" ht="18">
      <c r="AD874" s="93"/>
      <c r="AE874" s="214"/>
      <c r="AF874" s="93"/>
      <c r="AG874" s="93"/>
      <c r="AH874" s="93"/>
      <c r="AI874" s="93"/>
      <c r="AJ874" s="93"/>
    </row>
    <row r="875" spans="30:36" ht="18">
      <c r="AD875" s="93"/>
      <c r="AE875" s="214"/>
      <c r="AF875" s="93"/>
      <c r="AG875" s="93"/>
      <c r="AH875" s="93"/>
      <c r="AI875" s="93"/>
      <c r="AJ875" s="93"/>
    </row>
    <row r="876" spans="30:36" ht="18">
      <c r="AD876" s="93"/>
      <c r="AE876" s="214"/>
      <c r="AF876" s="93"/>
      <c r="AG876" s="93"/>
      <c r="AH876" s="93"/>
      <c r="AI876" s="93"/>
      <c r="AJ876" s="93"/>
    </row>
    <row r="877" spans="30:36" ht="18">
      <c r="AD877" s="93"/>
      <c r="AE877" s="214"/>
      <c r="AF877" s="93"/>
      <c r="AG877" s="93"/>
      <c r="AH877" s="93"/>
      <c r="AI877" s="93"/>
      <c r="AJ877" s="93"/>
    </row>
    <row r="878" spans="30:36" ht="18">
      <c r="AD878" s="93"/>
      <c r="AE878" s="214"/>
      <c r="AF878" s="93"/>
      <c r="AG878" s="93"/>
      <c r="AH878" s="93"/>
      <c r="AI878" s="93"/>
      <c r="AJ878" s="93"/>
    </row>
    <row r="879" spans="30:36" ht="18">
      <c r="AD879" s="93"/>
      <c r="AE879" s="214"/>
      <c r="AF879" s="93"/>
      <c r="AG879" s="93"/>
      <c r="AH879" s="93"/>
      <c r="AI879" s="93"/>
      <c r="AJ879" s="93"/>
    </row>
    <row r="880" spans="30:36" ht="18">
      <c r="AD880" s="93"/>
      <c r="AE880" s="214"/>
      <c r="AF880" s="93"/>
      <c r="AG880" s="93"/>
      <c r="AH880" s="93"/>
      <c r="AI880" s="93"/>
      <c r="AJ880" s="93"/>
    </row>
    <row r="881" spans="30:36" ht="18">
      <c r="AD881" s="93"/>
      <c r="AE881" s="214"/>
      <c r="AF881" s="93"/>
      <c r="AG881" s="93"/>
      <c r="AH881" s="93"/>
      <c r="AI881" s="93"/>
      <c r="AJ881" s="93"/>
    </row>
    <row r="882" spans="30:36" ht="18">
      <c r="AD882" s="93"/>
      <c r="AE882" s="214"/>
      <c r="AF882" s="93"/>
      <c r="AG882" s="93"/>
      <c r="AH882" s="93"/>
      <c r="AI882" s="93"/>
      <c r="AJ882" s="93"/>
    </row>
    <row r="883" spans="30:36" ht="18">
      <c r="AD883" s="93"/>
      <c r="AE883" s="214"/>
      <c r="AF883" s="93"/>
      <c r="AG883" s="93"/>
      <c r="AH883" s="93"/>
      <c r="AI883" s="93"/>
      <c r="AJ883" s="93"/>
    </row>
    <row r="884" spans="30:36" ht="18">
      <c r="AD884" s="93"/>
      <c r="AE884" s="214"/>
      <c r="AF884" s="93"/>
      <c r="AG884" s="93"/>
      <c r="AH884" s="93"/>
      <c r="AI884" s="93"/>
      <c r="AJ884" s="93"/>
    </row>
    <row r="885" spans="30:36" ht="18">
      <c r="AD885" s="93"/>
      <c r="AE885" s="214"/>
      <c r="AF885" s="93"/>
      <c r="AG885" s="93"/>
      <c r="AH885" s="93"/>
      <c r="AI885" s="93"/>
      <c r="AJ885" s="93"/>
    </row>
    <row r="886" spans="30:36" ht="18">
      <c r="AD886" s="93"/>
      <c r="AE886" s="214"/>
      <c r="AF886" s="93"/>
      <c r="AG886" s="93"/>
      <c r="AH886" s="93"/>
      <c r="AI886" s="93"/>
      <c r="AJ886" s="93"/>
    </row>
    <row r="887" spans="30:36" ht="18">
      <c r="AD887" s="93"/>
      <c r="AE887" s="214"/>
      <c r="AF887" s="93"/>
      <c r="AG887" s="93"/>
      <c r="AH887" s="93"/>
      <c r="AI887" s="93"/>
      <c r="AJ887" s="93"/>
    </row>
    <row r="888" spans="30:36" ht="18">
      <c r="AD888" s="93"/>
      <c r="AE888" s="214"/>
      <c r="AF888" s="93"/>
      <c r="AG888" s="93"/>
      <c r="AH888" s="93"/>
      <c r="AI888" s="93"/>
      <c r="AJ888" s="93"/>
    </row>
    <row r="889" spans="30:36" ht="18">
      <c r="AD889" s="93"/>
      <c r="AE889" s="214"/>
      <c r="AF889" s="93"/>
      <c r="AG889" s="93"/>
      <c r="AH889" s="93"/>
      <c r="AI889" s="93"/>
      <c r="AJ889" s="93"/>
    </row>
    <row r="890" spans="30:36" ht="18">
      <c r="AD890" s="93"/>
      <c r="AE890" s="214"/>
      <c r="AF890" s="93"/>
      <c r="AG890" s="93"/>
      <c r="AH890" s="93"/>
      <c r="AI890" s="93"/>
      <c r="AJ890" s="93"/>
    </row>
    <row r="891" spans="30:36" ht="18">
      <c r="AD891" s="93"/>
      <c r="AE891" s="214"/>
      <c r="AF891" s="93"/>
      <c r="AG891" s="93"/>
      <c r="AH891" s="93"/>
      <c r="AI891" s="93"/>
      <c r="AJ891" s="93"/>
    </row>
    <row r="892" spans="30:36" ht="18">
      <c r="AD892" s="93"/>
      <c r="AE892" s="214"/>
      <c r="AF892" s="93"/>
      <c r="AG892" s="93"/>
      <c r="AH892" s="93"/>
      <c r="AI892" s="93"/>
      <c r="AJ892" s="93"/>
    </row>
    <row r="893" spans="30:36" ht="18">
      <c r="AD893" s="93"/>
      <c r="AE893" s="214"/>
      <c r="AF893" s="93"/>
      <c r="AG893" s="93"/>
      <c r="AH893" s="93"/>
      <c r="AI893" s="93"/>
      <c r="AJ893" s="93"/>
    </row>
    <row r="894" spans="30:36" ht="18">
      <c r="AD894" s="93"/>
      <c r="AE894" s="215"/>
      <c r="AF894" s="93"/>
      <c r="AG894" s="93"/>
      <c r="AH894" s="93"/>
      <c r="AI894" s="93"/>
      <c r="AJ894" s="93"/>
    </row>
    <row r="895" spans="30:36" ht="18">
      <c r="AD895" s="93"/>
      <c r="AE895" s="215"/>
      <c r="AF895" s="93"/>
      <c r="AG895" s="93"/>
      <c r="AH895" s="93"/>
      <c r="AI895" s="93"/>
      <c r="AJ895" s="93"/>
    </row>
    <row r="896" spans="30:36" ht="18">
      <c r="AD896" s="93"/>
      <c r="AE896" s="214"/>
      <c r="AF896" s="93"/>
      <c r="AG896" s="93"/>
      <c r="AH896" s="93"/>
      <c r="AI896" s="93"/>
      <c r="AJ896" s="93"/>
    </row>
    <row r="897" spans="30:36" ht="18">
      <c r="AD897" s="93"/>
      <c r="AE897" s="214"/>
      <c r="AF897" s="93"/>
      <c r="AG897" s="93"/>
      <c r="AH897" s="93"/>
      <c r="AI897" s="93"/>
      <c r="AJ897" s="93"/>
    </row>
    <row r="898" spans="30:36" ht="18">
      <c r="AD898" s="93"/>
      <c r="AE898" s="214"/>
      <c r="AF898" s="93"/>
      <c r="AG898" s="93"/>
      <c r="AH898" s="93"/>
      <c r="AI898" s="93"/>
      <c r="AJ898" s="93"/>
    </row>
    <row r="899" spans="30:36" ht="18">
      <c r="AD899" s="93"/>
      <c r="AE899" s="214"/>
      <c r="AF899" s="93"/>
      <c r="AG899" s="93"/>
      <c r="AH899" s="93"/>
      <c r="AI899" s="93"/>
      <c r="AJ899" s="93"/>
    </row>
    <row r="900" spans="30:36" ht="18">
      <c r="AD900" s="93"/>
      <c r="AE900" s="215"/>
      <c r="AF900" s="93"/>
      <c r="AG900" s="93"/>
      <c r="AH900" s="93"/>
      <c r="AI900" s="93"/>
      <c r="AJ900" s="93"/>
    </row>
    <row r="901" spans="30:36" ht="18">
      <c r="AD901" s="93"/>
      <c r="AE901" s="215"/>
      <c r="AF901" s="93"/>
      <c r="AG901" s="93"/>
      <c r="AH901" s="93"/>
      <c r="AI901" s="93"/>
      <c r="AJ901" s="93"/>
    </row>
    <row r="902" spans="30:36" ht="18">
      <c r="AD902" s="93"/>
      <c r="AE902" s="214"/>
      <c r="AF902" s="93"/>
      <c r="AG902" s="93"/>
      <c r="AH902" s="93"/>
      <c r="AI902" s="93"/>
      <c r="AJ902" s="93"/>
    </row>
    <row r="903" spans="30:36" ht="18">
      <c r="AD903" s="93"/>
      <c r="AE903" s="214"/>
      <c r="AF903" s="93"/>
      <c r="AG903" s="93"/>
      <c r="AH903" s="93"/>
      <c r="AI903" s="93"/>
      <c r="AJ903" s="93"/>
    </row>
    <row r="904" spans="30:36" ht="18">
      <c r="AD904" s="93"/>
      <c r="AE904" s="214"/>
      <c r="AF904" s="93"/>
      <c r="AG904" s="93"/>
      <c r="AH904" s="93"/>
      <c r="AI904" s="93"/>
      <c r="AJ904" s="93"/>
    </row>
    <row r="905" spans="30:36" ht="18">
      <c r="AD905" s="93"/>
      <c r="AE905" s="214"/>
      <c r="AF905" s="93"/>
      <c r="AG905" s="93"/>
      <c r="AH905" s="93"/>
      <c r="AI905" s="93"/>
      <c r="AJ905" s="93"/>
    </row>
    <row r="906" spans="30:36" ht="18">
      <c r="AD906" s="93"/>
      <c r="AE906" s="214"/>
      <c r="AF906" s="93"/>
      <c r="AG906" s="93"/>
      <c r="AH906" s="93"/>
      <c r="AI906" s="93"/>
      <c r="AJ906" s="93"/>
    </row>
    <row r="907" spans="30:36" ht="18">
      <c r="AD907" s="93"/>
      <c r="AE907" s="214"/>
      <c r="AF907" s="93"/>
      <c r="AG907" s="93"/>
      <c r="AH907" s="93"/>
      <c r="AI907" s="93"/>
      <c r="AJ907" s="93"/>
    </row>
    <row r="908" spans="30:36" ht="18">
      <c r="AD908" s="93"/>
      <c r="AE908" s="214"/>
      <c r="AF908" s="93"/>
      <c r="AG908" s="93"/>
      <c r="AH908" s="93"/>
      <c r="AI908" s="93"/>
      <c r="AJ908" s="93"/>
    </row>
    <row r="909" spans="30:36" ht="18">
      <c r="AD909" s="93"/>
      <c r="AE909" s="214"/>
      <c r="AF909" s="93"/>
      <c r="AG909" s="93"/>
      <c r="AH909" s="93"/>
      <c r="AI909" s="93"/>
      <c r="AJ909" s="93"/>
    </row>
    <row r="910" spans="30:36" ht="18">
      <c r="AD910" s="93"/>
      <c r="AE910" s="214"/>
      <c r="AF910" s="93"/>
      <c r="AG910" s="93"/>
      <c r="AH910" s="93"/>
      <c r="AI910" s="93"/>
      <c r="AJ910" s="93"/>
    </row>
    <row r="911" spans="30:36" ht="18">
      <c r="AD911" s="93"/>
      <c r="AE911" s="214"/>
      <c r="AF911" s="93"/>
      <c r="AG911" s="93"/>
      <c r="AH911" s="93"/>
      <c r="AI911" s="93"/>
      <c r="AJ911" s="93"/>
    </row>
    <row r="912" spans="30:36" ht="18">
      <c r="AD912" s="93"/>
      <c r="AE912" s="214"/>
      <c r="AF912" s="93"/>
      <c r="AG912" s="93"/>
      <c r="AH912" s="93"/>
      <c r="AI912" s="93"/>
      <c r="AJ912" s="93"/>
    </row>
    <row r="913" spans="30:36" ht="18">
      <c r="AD913" s="93"/>
      <c r="AE913" s="214"/>
      <c r="AF913" s="93"/>
      <c r="AG913" s="93"/>
      <c r="AH913" s="93"/>
      <c r="AI913" s="93"/>
      <c r="AJ913" s="93"/>
    </row>
    <row r="914" spans="30:36" ht="18">
      <c r="AD914" s="93"/>
      <c r="AE914" s="214"/>
      <c r="AF914" s="93"/>
      <c r="AG914" s="93"/>
      <c r="AH914" s="93"/>
      <c r="AI914" s="93"/>
      <c r="AJ914" s="93"/>
    </row>
    <row r="915" spans="30:36" ht="18">
      <c r="AD915" s="93"/>
      <c r="AE915" s="214"/>
      <c r="AF915" s="93"/>
      <c r="AG915" s="93"/>
      <c r="AH915" s="93"/>
      <c r="AI915" s="93"/>
      <c r="AJ915" s="93"/>
    </row>
    <row r="916" spans="30:36" ht="18">
      <c r="AD916" s="93"/>
      <c r="AE916" s="214"/>
      <c r="AF916" s="93"/>
      <c r="AG916" s="93"/>
      <c r="AH916" s="93"/>
      <c r="AI916" s="93"/>
      <c r="AJ916" s="93"/>
    </row>
    <row r="917" spans="30:36" ht="18">
      <c r="AD917" s="93"/>
      <c r="AE917" s="214"/>
      <c r="AF917" s="93"/>
      <c r="AG917" s="93"/>
      <c r="AH917" s="93"/>
      <c r="AI917" s="93"/>
      <c r="AJ917" s="93"/>
    </row>
    <row r="918" spans="30:36" ht="18">
      <c r="AD918" s="93"/>
      <c r="AE918" s="214"/>
      <c r="AF918" s="93"/>
      <c r="AG918" s="93"/>
      <c r="AH918" s="93"/>
      <c r="AI918" s="93"/>
      <c r="AJ918" s="93"/>
    </row>
    <row r="919" spans="30:36" ht="18">
      <c r="AD919" s="93"/>
      <c r="AE919" s="214"/>
      <c r="AF919" s="93"/>
      <c r="AG919" s="93"/>
      <c r="AH919" s="93"/>
      <c r="AI919" s="93"/>
      <c r="AJ919" s="93"/>
    </row>
    <row r="920" spans="30:36" ht="18">
      <c r="AD920" s="93"/>
      <c r="AE920" s="214"/>
      <c r="AF920" s="93"/>
      <c r="AG920" s="93"/>
      <c r="AH920" s="93"/>
      <c r="AI920" s="93"/>
      <c r="AJ920" s="93"/>
    </row>
    <row r="921" spans="30:36" ht="18">
      <c r="AD921" s="93"/>
      <c r="AE921" s="214"/>
      <c r="AF921" s="93"/>
      <c r="AG921" s="93"/>
      <c r="AH921" s="93"/>
      <c r="AI921" s="93"/>
      <c r="AJ921" s="93"/>
    </row>
    <row r="922" spans="30:36" ht="18">
      <c r="AD922" s="93"/>
      <c r="AE922" s="214"/>
      <c r="AF922" s="93"/>
      <c r="AG922" s="93"/>
      <c r="AH922" s="93"/>
      <c r="AI922" s="93"/>
      <c r="AJ922" s="93"/>
    </row>
    <row r="923" spans="30:36" ht="18">
      <c r="AD923" s="93"/>
      <c r="AE923" s="214"/>
      <c r="AF923" s="93"/>
      <c r="AG923" s="93"/>
      <c r="AH923" s="93"/>
      <c r="AI923" s="93"/>
      <c r="AJ923" s="93"/>
    </row>
    <row r="924" spans="30:36" ht="18">
      <c r="AD924" s="93"/>
      <c r="AE924" s="214"/>
      <c r="AF924" s="93"/>
      <c r="AG924" s="93"/>
      <c r="AH924" s="93"/>
      <c r="AI924" s="93"/>
      <c r="AJ924" s="93"/>
    </row>
    <row r="925" spans="30:36" ht="18">
      <c r="AD925" s="93"/>
      <c r="AE925" s="214"/>
      <c r="AF925" s="93"/>
      <c r="AG925" s="93"/>
      <c r="AH925" s="93"/>
      <c r="AI925" s="93"/>
      <c r="AJ925" s="93"/>
    </row>
    <row r="926" spans="30:36" ht="18">
      <c r="AD926" s="93"/>
      <c r="AE926" s="214"/>
      <c r="AF926" s="93"/>
      <c r="AG926" s="93"/>
      <c r="AH926" s="93"/>
      <c r="AI926" s="93"/>
      <c r="AJ926" s="93"/>
    </row>
    <row r="927" spans="30:36" ht="18">
      <c r="AD927" s="93"/>
      <c r="AE927" s="214"/>
      <c r="AF927" s="93"/>
      <c r="AG927" s="93"/>
      <c r="AH927" s="93"/>
      <c r="AI927" s="93"/>
      <c r="AJ927" s="93"/>
    </row>
    <row r="928" spans="30:36" ht="18">
      <c r="AD928" s="93"/>
      <c r="AE928" s="214"/>
      <c r="AF928" s="93"/>
      <c r="AG928" s="93"/>
      <c r="AH928" s="93"/>
      <c r="AI928" s="93"/>
      <c r="AJ928" s="93"/>
    </row>
    <row r="929" spans="30:36" ht="18">
      <c r="AD929" s="93"/>
      <c r="AE929" s="214"/>
      <c r="AF929" s="93"/>
      <c r="AG929" s="93"/>
      <c r="AH929" s="93"/>
      <c r="AI929" s="93"/>
      <c r="AJ929" s="93"/>
    </row>
    <row r="930" spans="30:36" ht="18">
      <c r="AD930" s="93"/>
      <c r="AE930" s="214"/>
      <c r="AF930" s="93"/>
      <c r="AG930" s="93"/>
      <c r="AH930" s="93"/>
      <c r="AI930" s="93"/>
      <c r="AJ930" s="93"/>
    </row>
    <row r="931" spans="30:36" ht="18">
      <c r="AD931" s="93"/>
      <c r="AE931" s="214"/>
      <c r="AF931" s="93"/>
      <c r="AG931" s="93"/>
      <c r="AH931" s="93"/>
      <c r="AI931" s="93"/>
      <c r="AJ931" s="93"/>
    </row>
    <row r="932" spans="30:36" ht="18">
      <c r="AD932" s="93"/>
      <c r="AE932" s="214"/>
      <c r="AF932" s="93"/>
      <c r="AG932" s="93"/>
      <c r="AH932" s="93"/>
      <c r="AI932" s="93"/>
      <c r="AJ932" s="93"/>
    </row>
    <row r="933" spans="30:36" ht="18">
      <c r="AD933" s="93"/>
      <c r="AE933" s="214"/>
      <c r="AF933" s="93"/>
      <c r="AG933" s="93"/>
      <c r="AH933" s="93"/>
      <c r="AI933" s="93"/>
      <c r="AJ933" s="93"/>
    </row>
    <row r="934" spans="30:36" ht="18">
      <c r="AD934" s="93"/>
      <c r="AE934" s="214"/>
      <c r="AF934" s="93"/>
      <c r="AG934" s="93"/>
      <c r="AH934" s="93"/>
      <c r="AI934" s="93"/>
      <c r="AJ934" s="93"/>
    </row>
    <row r="935" spans="30:36" ht="18">
      <c r="AD935" s="93"/>
      <c r="AE935" s="214"/>
      <c r="AF935" s="93"/>
      <c r="AG935" s="93"/>
      <c r="AH935" s="93"/>
      <c r="AI935" s="93"/>
      <c r="AJ935" s="93"/>
    </row>
    <row r="936" spans="30:36" ht="18">
      <c r="AD936" s="93"/>
      <c r="AE936" s="214"/>
      <c r="AF936" s="93"/>
      <c r="AG936" s="93"/>
      <c r="AH936" s="93"/>
      <c r="AI936" s="93"/>
      <c r="AJ936" s="93"/>
    </row>
    <row r="937" spans="30:36" ht="18">
      <c r="AD937" s="93"/>
      <c r="AE937" s="214"/>
      <c r="AF937" s="93"/>
      <c r="AG937" s="93"/>
      <c r="AH937" s="93"/>
      <c r="AI937" s="93"/>
      <c r="AJ937" s="93"/>
    </row>
    <row r="938" spans="30:36" ht="18">
      <c r="AD938" s="93"/>
      <c r="AE938" s="214"/>
      <c r="AF938" s="93"/>
      <c r="AG938" s="93"/>
      <c r="AH938" s="93"/>
      <c r="AI938" s="93"/>
      <c r="AJ938" s="93"/>
    </row>
    <row r="939" spans="30:36" ht="18">
      <c r="AD939" s="93"/>
      <c r="AE939" s="214"/>
      <c r="AF939" s="93"/>
      <c r="AG939" s="93"/>
      <c r="AH939" s="93"/>
      <c r="AI939" s="93"/>
      <c r="AJ939" s="93"/>
    </row>
    <row r="940" spans="30:36" ht="18">
      <c r="AD940" s="93"/>
      <c r="AE940" s="214"/>
      <c r="AF940" s="93"/>
      <c r="AG940" s="93"/>
      <c r="AH940" s="93"/>
      <c r="AI940" s="93"/>
      <c r="AJ940" s="93"/>
    </row>
    <row r="941" spans="30:36" ht="18">
      <c r="AD941" s="93"/>
      <c r="AE941" s="214"/>
      <c r="AF941" s="93"/>
      <c r="AG941" s="93"/>
      <c r="AH941" s="93"/>
      <c r="AI941" s="93"/>
      <c r="AJ941" s="93"/>
    </row>
    <row r="942" spans="30:36" ht="18">
      <c r="AD942" s="93"/>
      <c r="AE942" s="214"/>
      <c r="AF942" s="93"/>
      <c r="AG942" s="93"/>
      <c r="AH942" s="93"/>
      <c r="AI942" s="93"/>
      <c r="AJ942" s="93"/>
    </row>
    <row r="943" spans="30:36" ht="18">
      <c r="AD943" s="93"/>
      <c r="AE943" s="214"/>
      <c r="AF943" s="93"/>
      <c r="AG943" s="93"/>
      <c r="AH943" s="93"/>
      <c r="AI943" s="93"/>
      <c r="AJ943" s="93"/>
    </row>
    <row r="944" spans="30:36" ht="18">
      <c r="AD944" s="93"/>
      <c r="AE944" s="214"/>
      <c r="AF944" s="93"/>
      <c r="AG944" s="93"/>
      <c r="AH944" s="93"/>
      <c r="AI944" s="93"/>
      <c r="AJ944" s="93"/>
    </row>
    <row r="945" spans="30:36" ht="18">
      <c r="AD945" s="93"/>
      <c r="AE945" s="214"/>
      <c r="AF945" s="93"/>
      <c r="AG945" s="93"/>
      <c r="AH945" s="93"/>
      <c r="AI945" s="93"/>
      <c r="AJ945" s="93"/>
    </row>
    <row r="946" spans="30:36" ht="18">
      <c r="AD946" s="93"/>
      <c r="AE946" s="214"/>
      <c r="AF946" s="93"/>
      <c r="AG946" s="93"/>
      <c r="AH946" s="93"/>
      <c r="AI946" s="93"/>
      <c r="AJ946" s="93"/>
    </row>
    <row r="947" spans="30:36" ht="18">
      <c r="AD947" s="93"/>
      <c r="AE947" s="214"/>
      <c r="AF947" s="93"/>
      <c r="AG947" s="93"/>
      <c r="AH947" s="93"/>
      <c r="AI947" s="93"/>
      <c r="AJ947" s="93"/>
    </row>
    <row r="948" spans="30:36" ht="18">
      <c r="AD948" s="93"/>
      <c r="AE948" s="214"/>
      <c r="AF948" s="93"/>
      <c r="AG948" s="93"/>
      <c r="AH948" s="93"/>
      <c r="AI948" s="93"/>
      <c r="AJ948" s="93"/>
    </row>
    <row r="949" spans="30:36" ht="18">
      <c r="AD949" s="93"/>
      <c r="AE949" s="214"/>
      <c r="AF949" s="93"/>
      <c r="AG949" s="93"/>
      <c r="AH949" s="93"/>
      <c r="AI949" s="93"/>
      <c r="AJ949" s="93"/>
    </row>
    <row r="950" spans="30:36" ht="18">
      <c r="AD950" s="93"/>
      <c r="AE950" s="214"/>
      <c r="AF950" s="93"/>
      <c r="AG950" s="93"/>
      <c r="AH950" s="93"/>
      <c r="AI950" s="93"/>
      <c r="AJ950" s="93"/>
    </row>
    <row r="951" spans="30:36" ht="18">
      <c r="AD951" s="93"/>
      <c r="AE951" s="214"/>
      <c r="AF951" s="93"/>
      <c r="AG951" s="93"/>
      <c r="AH951" s="93"/>
      <c r="AI951" s="93"/>
      <c r="AJ951" s="93"/>
    </row>
    <row r="952" spans="30:36" ht="18">
      <c r="AD952" s="93"/>
      <c r="AE952" s="214"/>
      <c r="AF952" s="93"/>
      <c r="AG952" s="93"/>
      <c r="AH952" s="93"/>
      <c r="AI952" s="93"/>
      <c r="AJ952" s="93"/>
    </row>
    <row r="953" spans="30:36" ht="18">
      <c r="AD953" s="93"/>
      <c r="AE953" s="214"/>
      <c r="AF953" s="93"/>
      <c r="AG953" s="93"/>
      <c r="AH953" s="93"/>
      <c r="AI953" s="93"/>
      <c r="AJ953" s="93"/>
    </row>
    <row r="954" spans="30:36" ht="18">
      <c r="AD954" s="93"/>
      <c r="AE954" s="214"/>
      <c r="AF954" s="93"/>
      <c r="AG954" s="93"/>
      <c r="AH954" s="93"/>
      <c r="AI954" s="93"/>
      <c r="AJ954" s="93"/>
    </row>
    <row r="955" spans="30:36" ht="18">
      <c r="AD955" s="93"/>
      <c r="AE955" s="214"/>
      <c r="AF955" s="93"/>
      <c r="AG955" s="93"/>
      <c r="AH955" s="93"/>
      <c r="AI955" s="93"/>
      <c r="AJ955" s="93"/>
    </row>
    <row r="956" spans="30:36" ht="18">
      <c r="AD956" s="93"/>
      <c r="AE956" s="214"/>
      <c r="AF956" s="93"/>
      <c r="AG956" s="93"/>
      <c r="AH956" s="93"/>
      <c r="AI956" s="93"/>
      <c r="AJ956" s="93"/>
    </row>
    <row r="957" spans="30:36" ht="18">
      <c r="AD957" s="93"/>
      <c r="AE957" s="214"/>
      <c r="AF957" s="93"/>
      <c r="AG957" s="93"/>
      <c r="AH957" s="93"/>
      <c r="AI957" s="93"/>
      <c r="AJ957" s="93"/>
    </row>
    <row r="958" spans="30:36" ht="18">
      <c r="AD958" s="93"/>
      <c r="AE958" s="214"/>
      <c r="AF958" s="93"/>
      <c r="AG958" s="93"/>
      <c r="AH958" s="93"/>
      <c r="AI958" s="93"/>
      <c r="AJ958" s="93"/>
    </row>
    <row r="959" spans="30:36" ht="18">
      <c r="AD959" s="93"/>
      <c r="AE959" s="214"/>
      <c r="AF959" s="93"/>
      <c r="AG959" s="93"/>
      <c r="AH959" s="93"/>
      <c r="AI959" s="93"/>
      <c r="AJ959" s="93"/>
    </row>
    <row r="960" spans="30:36" ht="18">
      <c r="AD960" s="93"/>
      <c r="AE960" s="214"/>
      <c r="AF960" s="93"/>
      <c r="AG960" s="93"/>
      <c r="AH960" s="93"/>
      <c r="AI960" s="93"/>
      <c r="AJ960" s="93"/>
    </row>
    <row r="961" spans="30:36" ht="18">
      <c r="AD961" s="93"/>
      <c r="AE961" s="214"/>
      <c r="AF961" s="93"/>
      <c r="AG961" s="93"/>
      <c r="AH961" s="93"/>
      <c r="AI961" s="93"/>
      <c r="AJ961" s="93"/>
    </row>
    <row r="962" spans="30:36" ht="18">
      <c r="AD962" s="93"/>
      <c r="AE962" s="214"/>
      <c r="AF962" s="93"/>
      <c r="AG962" s="93"/>
      <c r="AH962" s="93"/>
      <c r="AI962" s="93"/>
      <c r="AJ962" s="93"/>
    </row>
    <row r="963" spans="30:36" ht="18">
      <c r="AD963" s="93"/>
      <c r="AE963" s="214"/>
      <c r="AF963" s="93"/>
      <c r="AG963" s="93"/>
      <c r="AH963" s="93"/>
      <c r="AI963" s="93"/>
      <c r="AJ963" s="93"/>
    </row>
    <row r="964" spans="30:36" ht="18">
      <c r="AD964" s="93"/>
      <c r="AE964" s="214"/>
      <c r="AF964" s="93"/>
      <c r="AG964" s="93"/>
      <c r="AH964" s="93"/>
      <c r="AI964" s="93"/>
      <c r="AJ964" s="93"/>
    </row>
    <row r="965" spans="30:36" ht="18">
      <c r="AD965" s="93"/>
      <c r="AE965" s="214"/>
      <c r="AF965" s="93"/>
      <c r="AG965" s="93"/>
      <c r="AH965" s="93"/>
      <c r="AI965" s="93"/>
      <c r="AJ965" s="93"/>
    </row>
    <row r="966" spans="30:36" ht="18">
      <c r="AD966" s="93"/>
      <c r="AE966" s="214"/>
      <c r="AF966" s="93"/>
      <c r="AG966" s="93"/>
      <c r="AH966" s="93"/>
      <c r="AI966" s="93"/>
      <c r="AJ966" s="93"/>
    </row>
    <row r="967" spans="30:36" ht="18">
      <c r="AD967" s="93"/>
      <c r="AE967" s="214"/>
      <c r="AF967" s="93"/>
      <c r="AG967" s="93"/>
      <c r="AH967" s="93"/>
      <c r="AI967" s="93"/>
      <c r="AJ967" s="93"/>
    </row>
    <row r="968" spans="30:36" ht="18">
      <c r="AD968" s="93"/>
      <c r="AE968" s="214"/>
      <c r="AF968" s="93"/>
      <c r="AG968" s="93"/>
      <c r="AH968" s="93"/>
      <c r="AI968" s="93"/>
      <c r="AJ968" s="93"/>
    </row>
    <row r="969" spans="30:36" ht="18">
      <c r="AD969" s="93"/>
      <c r="AE969" s="214"/>
      <c r="AF969" s="93"/>
      <c r="AG969" s="93"/>
      <c r="AH969" s="93"/>
      <c r="AI969" s="93"/>
      <c r="AJ969" s="93"/>
    </row>
    <row r="970" spans="30:36" ht="18">
      <c r="AD970" s="93"/>
      <c r="AE970" s="214"/>
      <c r="AF970" s="93"/>
      <c r="AG970" s="93"/>
      <c r="AH970" s="93"/>
      <c r="AI970" s="93"/>
      <c r="AJ970" s="93"/>
    </row>
    <row r="971" spans="30:36" ht="18">
      <c r="AD971" s="93"/>
      <c r="AE971" s="214"/>
      <c r="AF971" s="93"/>
      <c r="AG971" s="93"/>
      <c r="AH971" s="93"/>
      <c r="AI971" s="93"/>
      <c r="AJ971" s="93"/>
    </row>
    <row r="972" spans="30:36" ht="18">
      <c r="AD972" s="93"/>
      <c r="AE972" s="214"/>
      <c r="AF972" s="93"/>
      <c r="AG972" s="93"/>
      <c r="AH972" s="93"/>
      <c r="AI972" s="93"/>
      <c r="AJ972" s="93"/>
    </row>
    <row r="973" spans="30:36" ht="18">
      <c r="AD973" s="93"/>
      <c r="AE973" s="214"/>
      <c r="AF973" s="93"/>
      <c r="AG973" s="93"/>
      <c r="AH973" s="93"/>
      <c r="AI973" s="93"/>
      <c r="AJ973" s="93"/>
    </row>
    <row r="974" spans="30:36" ht="18">
      <c r="AD974" s="93"/>
      <c r="AE974" s="214"/>
      <c r="AF974" s="93"/>
      <c r="AG974" s="93"/>
      <c r="AH974" s="93"/>
      <c r="AI974" s="93"/>
      <c r="AJ974" s="93"/>
    </row>
    <row r="975" spans="30:36" ht="18">
      <c r="AD975" s="93"/>
      <c r="AE975" s="214"/>
      <c r="AF975" s="93"/>
      <c r="AG975" s="93"/>
      <c r="AH975" s="93"/>
      <c r="AI975" s="93"/>
      <c r="AJ975" s="93"/>
    </row>
    <row r="976" spans="30:36" ht="18">
      <c r="AD976" s="93"/>
      <c r="AE976" s="214"/>
      <c r="AF976" s="93"/>
      <c r="AG976" s="93"/>
      <c r="AH976" s="93"/>
      <c r="AI976" s="93"/>
      <c r="AJ976" s="93"/>
    </row>
    <row r="977" spans="30:36" ht="18">
      <c r="AD977" s="93"/>
      <c r="AE977" s="214"/>
      <c r="AF977" s="93"/>
      <c r="AG977" s="93"/>
      <c r="AH977" s="93"/>
      <c r="AI977" s="93"/>
      <c r="AJ977" s="93"/>
    </row>
    <row r="978" spans="30:36" ht="18">
      <c r="AD978" s="93"/>
      <c r="AE978" s="214"/>
      <c r="AF978" s="93"/>
      <c r="AG978" s="93"/>
      <c r="AH978" s="93"/>
      <c r="AI978" s="93"/>
      <c r="AJ978" s="93"/>
    </row>
    <row r="979" spans="30:36" ht="18">
      <c r="AD979" s="93"/>
      <c r="AE979" s="214"/>
      <c r="AF979" s="93"/>
      <c r="AG979" s="93"/>
      <c r="AH979" s="93"/>
      <c r="AI979" s="93"/>
      <c r="AJ979" s="93"/>
    </row>
    <row r="980" spans="30:36" ht="18">
      <c r="AD980" s="93"/>
      <c r="AE980" s="214"/>
      <c r="AF980" s="93"/>
      <c r="AG980" s="93"/>
      <c r="AH980" s="93"/>
      <c r="AI980" s="93"/>
      <c r="AJ980" s="93"/>
    </row>
    <row r="981" spans="30:36" ht="18">
      <c r="AD981" s="93"/>
      <c r="AE981" s="214"/>
      <c r="AF981" s="93"/>
      <c r="AG981" s="93"/>
      <c r="AH981" s="93"/>
      <c r="AI981" s="93"/>
      <c r="AJ981" s="93"/>
    </row>
    <row r="982" spans="30:36" ht="18">
      <c r="AD982" s="93"/>
      <c r="AE982" s="214"/>
      <c r="AF982" s="93"/>
      <c r="AG982" s="93"/>
      <c r="AH982" s="93"/>
      <c r="AI982" s="93"/>
      <c r="AJ982" s="93"/>
    </row>
    <row r="983" spans="30:36" ht="18">
      <c r="AD983" s="93"/>
      <c r="AE983" s="214"/>
      <c r="AF983" s="93"/>
      <c r="AG983" s="93"/>
      <c r="AH983" s="93"/>
      <c r="AI983" s="93"/>
      <c r="AJ983" s="93"/>
    </row>
    <row r="984" spans="30:36" ht="18">
      <c r="AD984" s="93"/>
      <c r="AE984" s="214"/>
      <c r="AF984" s="93"/>
      <c r="AG984" s="93"/>
      <c r="AH984" s="93"/>
      <c r="AI984" s="93"/>
      <c r="AJ984" s="93"/>
    </row>
    <row r="985" spans="30:36" ht="18">
      <c r="AD985" s="93"/>
      <c r="AE985" s="214"/>
      <c r="AF985" s="93"/>
      <c r="AG985" s="93"/>
      <c r="AH985" s="93"/>
      <c r="AI985" s="93"/>
      <c r="AJ985" s="93"/>
    </row>
    <row r="986" spans="30:36" ht="18">
      <c r="AD986" s="93"/>
      <c r="AE986" s="214"/>
      <c r="AF986" s="93"/>
      <c r="AG986" s="93"/>
      <c r="AH986" s="93"/>
      <c r="AI986" s="93"/>
      <c r="AJ986" s="93"/>
    </row>
    <row r="987" spans="30:36" ht="18">
      <c r="AD987" s="93"/>
      <c r="AE987" s="214"/>
      <c r="AF987" s="93"/>
      <c r="AG987" s="93"/>
      <c r="AH987" s="93"/>
      <c r="AI987" s="93"/>
      <c r="AJ987" s="93"/>
    </row>
    <row r="988" spans="30:36" ht="18">
      <c r="AD988" s="93"/>
      <c r="AE988" s="214"/>
      <c r="AF988" s="93"/>
      <c r="AG988" s="93"/>
      <c r="AH988" s="93"/>
      <c r="AI988" s="93"/>
      <c r="AJ988" s="93"/>
    </row>
    <row r="989" spans="30:36" ht="18">
      <c r="AD989" s="93"/>
      <c r="AE989" s="214"/>
      <c r="AF989" s="93"/>
      <c r="AG989" s="93"/>
      <c r="AH989" s="93"/>
      <c r="AI989" s="93"/>
      <c r="AJ989" s="93"/>
    </row>
    <row r="990" spans="30:36" ht="18">
      <c r="AD990" s="93"/>
      <c r="AE990" s="214"/>
      <c r="AF990" s="93"/>
      <c r="AG990" s="93"/>
      <c r="AH990" s="93"/>
      <c r="AI990" s="93"/>
      <c r="AJ990" s="93"/>
    </row>
    <row r="991" spans="30:36" ht="18">
      <c r="AD991" s="93"/>
      <c r="AE991" s="214"/>
      <c r="AF991" s="93"/>
      <c r="AG991" s="93"/>
      <c r="AH991" s="93"/>
      <c r="AI991" s="93"/>
      <c r="AJ991" s="93"/>
    </row>
    <row r="992" spans="30:36" ht="18">
      <c r="AD992" s="93"/>
      <c r="AE992" s="214"/>
      <c r="AF992" s="93"/>
      <c r="AG992" s="93"/>
      <c r="AH992" s="93"/>
      <c r="AI992" s="93"/>
      <c r="AJ992" s="93"/>
    </row>
    <row r="993" spans="30:36" ht="18">
      <c r="AD993" s="93"/>
      <c r="AE993" s="214"/>
      <c r="AF993" s="93"/>
      <c r="AG993" s="93"/>
      <c r="AH993" s="93"/>
      <c r="AI993" s="93"/>
      <c r="AJ993" s="93"/>
    </row>
    <row r="994" spans="30:36" ht="18">
      <c r="AD994" s="93"/>
      <c r="AE994" s="215"/>
      <c r="AF994" s="93"/>
      <c r="AG994" s="93"/>
      <c r="AH994" s="93"/>
      <c r="AI994" s="93"/>
      <c r="AJ994" s="93"/>
    </row>
    <row r="995" spans="30:36" ht="18">
      <c r="AD995" s="93"/>
      <c r="AE995" s="214"/>
      <c r="AF995" s="93"/>
      <c r="AG995" s="93"/>
      <c r="AH995" s="93"/>
      <c r="AI995" s="93"/>
      <c r="AJ995" s="93"/>
    </row>
    <row r="996" spans="30:36" ht="18">
      <c r="AD996" s="93"/>
      <c r="AE996" s="214"/>
      <c r="AF996" s="93"/>
      <c r="AG996" s="93"/>
      <c r="AH996" s="93"/>
      <c r="AI996" s="93"/>
      <c r="AJ996" s="93"/>
    </row>
    <row r="997" spans="30:36" ht="18">
      <c r="AD997" s="93"/>
      <c r="AE997" s="214"/>
      <c r="AF997" s="94"/>
      <c r="AG997" s="93"/>
      <c r="AH997" s="93"/>
      <c r="AI997" s="93"/>
      <c r="AJ997" s="93"/>
    </row>
    <row r="998" spans="30:36" ht="18">
      <c r="AD998" s="93"/>
      <c r="AE998" s="214"/>
      <c r="AF998" s="94"/>
      <c r="AG998" s="93"/>
      <c r="AH998" s="93"/>
      <c r="AI998" s="93"/>
      <c r="AJ998" s="93"/>
    </row>
    <row r="999" spans="30:36" ht="18">
      <c r="AD999" s="93"/>
      <c r="AE999" s="214"/>
      <c r="AF999" s="94"/>
      <c r="AG999" s="93"/>
      <c r="AH999" s="93"/>
      <c r="AI999" s="93"/>
      <c r="AJ999" s="93"/>
    </row>
    <row r="1000" spans="30:36" ht="18">
      <c r="AD1000" s="93"/>
      <c r="AE1000" s="214"/>
      <c r="AF1000" s="94"/>
      <c r="AG1000" s="93"/>
      <c r="AH1000" s="93"/>
      <c r="AI1000" s="93"/>
      <c r="AJ1000" s="93"/>
    </row>
    <row r="1001" spans="30:36" ht="18">
      <c r="AD1001" s="93"/>
      <c r="AE1001" s="214"/>
      <c r="AF1001" s="94"/>
      <c r="AG1001" s="93"/>
      <c r="AH1001" s="93"/>
      <c r="AI1001" s="93"/>
      <c r="AJ1001" s="93"/>
    </row>
    <row r="1002" spans="30:36" ht="18">
      <c r="AD1002" s="93"/>
      <c r="AE1002" s="214"/>
      <c r="AF1002" s="94"/>
      <c r="AG1002" s="93"/>
      <c r="AH1002" s="93"/>
      <c r="AI1002" s="93"/>
      <c r="AJ1002" s="93"/>
    </row>
    <row r="1003" spans="30:36" ht="18">
      <c r="AD1003" s="93"/>
      <c r="AE1003" s="214"/>
      <c r="AF1003" s="94"/>
      <c r="AG1003" s="93"/>
      <c r="AH1003" s="93"/>
      <c r="AI1003" s="93"/>
      <c r="AJ1003" s="93"/>
    </row>
    <row r="1004" spans="30:36" ht="18">
      <c r="AD1004" s="93"/>
      <c r="AE1004" s="214"/>
      <c r="AF1004" s="94"/>
      <c r="AG1004" s="93"/>
      <c r="AH1004" s="93"/>
      <c r="AI1004" s="93"/>
      <c r="AJ1004" s="93"/>
    </row>
    <row r="1005" spans="30:36" ht="18">
      <c r="AD1005" s="93"/>
      <c r="AE1005" s="214"/>
      <c r="AF1005" s="94"/>
      <c r="AG1005" s="93"/>
      <c r="AH1005" s="93"/>
      <c r="AI1005" s="93"/>
      <c r="AJ1005" s="93"/>
    </row>
    <row r="1006" spans="30:36" ht="18">
      <c r="AD1006" s="93"/>
      <c r="AE1006" s="214"/>
      <c r="AF1006" s="94"/>
      <c r="AG1006" s="93"/>
      <c r="AH1006" s="93"/>
      <c r="AI1006" s="93"/>
      <c r="AJ1006" s="93"/>
    </row>
    <row r="1007" spans="30:36" ht="18">
      <c r="AD1007" s="93"/>
      <c r="AE1007" s="214"/>
      <c r="AF1007" s="94"/>
      <c r="AG1007" s="93"/>
      <c r="AH1007" s="93"/>
      <c r="AI1007" s="93"/>
      <c r="AJ1007" s="93"/>
    </row>
    <row r="1008" spans="30:36" ht="18">
      <c r="AD1008" s="93"/>
      <c r="AE1008" s="214"/>
      <c r="AF1008" s="94"/>
      <c r="AG1008" s="93"/>
      <c r="AH1008" s="93"/>
      <c r="AI1008" s="93"/>
      <c r="AJ1008" s="93"/>
    </row>
    <row r="1009" spans="30:36" ht="18">
      <c r="AD1009" s="93"/>
      <c r="AE1009" s="214"/>
      <c r="AF1009" s="94"/>
      <c r="AG1009" s="93"/>
      <c r="AH1009" s="93"/>
      <c r="AI1009" s="93"/>
      <c r="AJ1009" s="93"/>
    </row>
    <row r="1010" spans="30:36" ht="18">
      <c r="AD1010" s="93"/>
      <c r="AE1010" s="214"/>
      <c r="AF1010" s="94"/>
      <c r="AG1010" s="93"/>
      <c r="AH1010" s="93"/>
      <c r="AI1010" s="93"/>
      <c r="AJ1010" s="93"/>
    </row>
    <row r="1011" spans="30:36" ht="18">
      <c r="AD1011" s="93"/>
      <c r="AE1011" s="214"/>
      <c r="AF1011" s="94"/>
      <c r="AG1011" s="93"/>
      <c r="AH1011" s="93"/>
      <c r="AI1011" s="93"/>
      <c r="AJ1011" s="93"/>
    </row>
    <row r="1012" spans="30:36" ht="18">
      <c r="AD1012" s="93"/>
      <c r="AE1012" s="214"/>
      <c r="AF1012" s="94"/>
      <c r="AG1012" s="93"/>
      <c r="AH1012" s="93"/>
      <c r="AI1012" s="93"/>
      <c r="AJ1012" s="93"/>
    </row>
    <row r="1013" spans="30:36" ht="18">
      <c r="AD1013" s="93"/>
      <c r="AE1013" s="214"/>
      <c r="AF1013" s="94"/>
      <c r="AG1013" s="93"/>
      <c r="AH1013" s="93"/>
      <c r="AI1013" s="93"/>
      <c r="AJ1013" s="93"/>
    </row>
    <row r="1014" spans="30:36" ht="18">
      <c r="AD1014" s="93"/>
      <c r="AE1014" s="214"/>
      <c r="AF1014" s="94"/>
      <c r="AG1014" s="93"/>
      <c r="AH1014" s="93"/>
      <c r="AI1014" s="93"/>
      <c r="AJ1014" s="93"/>
    </row>
    <row r="1015" spans="30:36" ht="18">
      <c r="AD1015" s="93"/>
      <c r="AE1015" s="215"/>
      <c r="AF1015" s="93"/>
      <c r="AG1015" s="93"/>
      <c r="AH1015" s="93"/>
      <c r="AI1015" s="93"/>
      <c r="AJ1015" s="93"/>
    </row>
    <row r="1016" spans="30:36" ht="18">
      <c r="AD1016" s="93"/>
      <c r="AE1016" s="214"/>
      <c r="AF1016" s="93"/>
      <c r="AG1016" s="93"/>
      <c r="AH1016" s="93"/>
      <c r="AI1016" s="93"/>
      <c r="AJ1016" s="93"/>
    </row>
    <row r="1017" spans="30:36" ht="18">
      <c r="AD1017" s="93"/>
      <c r="AE1017" s="214"/>
      <c r="AF1017" s="93"/>
      <c r="AG1017" s="93"/>
      <c r="AH1017" s="93"/>
      <c r="AI1017" s="93"/>
      <c r="AJ1017" s="93"/>
    </row>
    <row r="1018" spans="30:36" ht="18">
      <c r="AD1018" s="93"/>
      <c r="AE1018" s="214"/>
      <c r="AF1018" s="93"/>
      <c r="AG1018" s="93"/>
      <c r="AH1018" s="93"/>
      <c r="AI1018" s="93"/>
      <c r="AJ1018" s="93"/>
    </row>
    <row r="1019" spans="30:36" ht="18">
      <c r="AD1019" s="93"/>
      <c r="AE1019" s="214"/>
      <c r="AF1019" s="93"/>
      <c r="AG1019" s="93"/>
      <c r="AH1019" s="93"/>
      <c r="AI1019" s="93"/>
      <c r="AJ1019" s="93"/>
    </row>
    <row r="1020" spans="30:36" ht="18">
      <c r="AD1020" s="93"/>
      <c r="AE1020" s="214"/>
      <c r="AF1020" s="93"/>
      <c r="AG1020" s="93"/>
      <c r="AH1020" s="93"/>
      <c r="AI1020" s="93"/>
      <c r="AJ1020" s="93"/>
    </row>
    <row r="1021" spans="30:36" ht="18">
      <c r="AD1021" s="93"/>
      <c r="AE1021" s="214"/>
      <c r="AF1021" s="93"/>
      <c r="AG1021" s="93"/>
      <c r="AH1021" s="93"/>
      <c r="AI1021" s="93"/>
      <c r="AJ1021" s="93"/>
    </row>
    <row r="1022" spans="30:36" ht="18">
      <c r="AD1022" s="93"/>
      <c r="AE1022" s="214"/>
      <c r="AF1022" s="93"/>
      <c r="AG1022" s="93"/>
      <c r="AH1022" s="93"/>
      <c r="AI1022" s="93"/>
      <c r="AJ1022" s="93"/>
    </row>
    <row r="1023" spans="30:36" ht="18">
      <c r="AD1023" s="93"/>
      <c r="AE1023" s="214"/>
      <c r="AF1023" s="93"/>
      <c r="AG1023" s="93"/>
      <c r="AH1023" s="93"/>
      <c r="AI1023" s="93"/>
      <c r="AJ1023" s="93"/>
    </row>
    <row r="1024" spans="30:36" ht="18">
      <c r="AD1024" s="93"/>
      <c r="AE1024" s="214"/>
      <c r="AF1024" s="93"/>
      <c r="AG1024" s="93"/>
      <c r="AH1024" s="93"/>
      <c r="AI1024" s="93"/>
      <c r="AJ1024" s="93"/>
    </row>
    <row r="1025" spans="30:36" ht="18">
      <c r="AD1025" s="93"/>
      <c r="AE1025" s="214"/>
      <c r="AF1025" s="93"/>
      <c r="AG1025" s="93"/>
      <c r="AH1025" s="93"/>
      <c r="AI1025" s="93"/>
      <c r="AJ1025" s="93"/>
    </row>
    <row r="1026" spans="30:36" ht="18">
      <c r="AD1026" s="93"/>
      <c r="AE1026" s="214"/>
      <c r="AF1026" s="93"/>
      <c r="AG1026" s="93"/>
      <c r="AH1026" s="93"/>
      <c r="AI1026" s="93"/>
      <c r="AJ1026" s="93"/>
    </row>
    <row r="1027" spans="30:36" ht="18">
      <c r="AD1027" s="93"/>
      <c r="AE1027" s="214"/>
      <c r="AF1027" s="93"/>
      <c r="AG1027" s="93"/>
      <c r="AH1027" s="93"/>
      <c r="AI1027" s="93"/>
      <c r="AJ1027" s="93"/>
    </row>
    <row r="1028" spans="30:36" ht="18">
      <c r="AD1028" s="93"/>
      <c r="AE1028" s="214"/>
      <c r="AF1028" s="93"/>
      <c r="AG1028" s="93"/>
      <c r="AH1028" s="93"/>
      <c r="AI1028" s="93"/>
      <c r="AJ1028" s="93"/>
    </row>
    <row r="1029" spans="30:36" ht="18">
      <c r="AD1029" s="93"/>
      <c r="AE1029" s="214"/>
      <c r="AF1029" s="93"/>
      <c r="AG1029" s="93"/>
      <c r="AH1029" s="93"/>
      <c r="AI1029" s="93"/>
      <c r="AJ1029" s="93"/>
    </row>
    <row r="1030" spans="30:36" ht="18">
      <c r="AD1030" s="93"/>
      <c r="AE1030" s="214"/>
      <c r="AF1030" s="93"/>
      <c r="AG1030" s="93"/>
      <c r="AH1030" s="93"/>
      <c r="AI1030" s="93"/>
      <c r="AJ1030" s="93"/>
    </row>
    <row r="1031" spans="30:36" ht="18">
      <c r="AD1031" s="93"/>
      <c r="AE1031" s="214"/>
      <c r="AF1031" s="93"/>
      <c r="AG1031" s="93"/>
      <c r="AH1031" s="93"/>
      <c r="AI1031" s="93"/>
      <c r="AJ1031" s="93"/>
    </row>
    <row r="1032" spans="30:36" ht="18">
      <c r="AD1032" s="93"/>
      <c r="AE1032" s="214"/>
      <c r="AF1032" s="93"/>
      <c r="AG1032" s="93"/>
      <c r="AH1032" s="93"/>
      <c r="AI1032" s="93"/>
      <c r="AJ1032" s="93"/>
    </row>
    <row r="1033" spans="30:36" ht="18">
      <c r="AD1033" s="93"/>
      <c r="AE1033" s="214"/>
      <c r="AF1033" s="93"/>
      <c r="AG1033" s="93"/>
      <c r="AH1033" s="93"/>
      <c r="AI1033" s="93"/>
      <c r="AJ1033" s="93"/>
    </row>
    <row r="1034" spans="30:36" ht="18">
      <c r="AD1034" s="93"/>
      <c r="AE1034" s="215"/>
      <c r="AF1034" s="93"/>
      <c r="AG1034" s="93"/>
      <c r="AH1034" s="93"/>
      <c r="AI1034" s="93"/>
      <c r="AJ1034" s="93"/>
    </row>
    <row r="1035" spans="30:36" ht="18">
      <c r="AD1035" s="93"/>
      <c r="AE1035" s="214"/>
      <c r="AF1035" s="93"/>
      <c r="AG1035" s="93"/>
      <c r="AH1035" s="93"/>
      <c r="AI1035" s="93"/>
      <c r="AJ1035" s="93"/>
    </row>
    <row r="1036" spans="30:36" ht="18">
      <c r="AD1036" s="93"/>
      <c r="AE1036" s="214"/>
      <c r="AF1036" s="93"/>
      <c r="AG1036" s="93"/>
      <c r="AH1036" s="93"/>
      <c r="AI1036" s="93"/>
      <c r="AJ1036" s="93"/>
    </row>
    <row r="1037" spans="30:36" ht="18">
      <c r="AD1037" s="93"/>
      <c r="AE1037" s="215"/>
      <c r="AF1037" s="93"/>
      <c r="AG1037" s="93"/>
      <c r="AH1037" s="93"/>
      <c r="AI1037" s="93"/>
      <c r="AJ1037" s="93"/>
    </row>
    <row r="1038" spans="30:36" ht="18">
      <c r="AD1038" s="93"/>
      <c r="AE1038" s="215"/>
      <c r="AF1038" s="93"/>
      <c r="AG1038" s="93"/>
      <c r="AH1038" s="93"/>
      <c r="AI1038" s="93"/>
      <c r="AJ1038" s="93"/>
    </row>
    <row r="1039" spans="30:36" ht="18">
      <c r="AD1039" s="93"/>
      <c r="AE1039" s="214"/>
      <c r="AF1039" s="93"/>
      <c r="AG1039" s="93"/>
      <c r="AH1039" s="93"/>
      <c r="AI1039" s="93"/>
      <c r="AJ1039" s="93"/>
    </row>
    <row r="1040" spans="30:36" ht="18">
      <c r="AD1040" s="93"/>
      <c r="AE1040" s="214"/>
      <c r="AF1040" s="93"/>
      <c r="AG1040" s="93"/>
      <c r="AH1040" s="93"/>
      <c r="AI1040" s="93"/>
      <c r="AJ1040" s="93"/>
    </row>
    <row r="1041" spans="30:36" ht="18">
      <c r="AD1041" s="93"/>
      <c r="AE1041" s="214"/>
      <c r="AF1041" s="93"/>
      <c r="AG1041" s="93"/>
      <c r="AH1041" s="93"/>
      <c r="AI1041" s="93"/>
      <c r="AJ1041" s="93"/>
    </row>
    <row r="1042" spans="30:36" ht="18">
      <c r="AD1042" s="93"/>
      <c r="AE1042" s="215"/>
      <c r="AF1042" s="93"/>
      <c r="AG1042" s="93"/>
      <c r="AH1042" s="93"/>
      <c r="AI1042" s="93"/>
      <c r="AJ1042" s="93"/>
    </row>
    <row r="1043" spans="30:36" ht="18">
      <c r="AD1043" s="93"/>
      <c r="AE1043" s="214"/>
      <c r="AF1043" s="93"/>
      <c r="AG1043" s="93"/>
      <c r="AH1043" s="93"/>
      <c r="AI1043" s="93"/>
      <c r="AJ1043" s="93"/>
    </row>
    <row r="1044" spans="30:36" ht="18">
      <c r="AD1044" s="93"/>
      <c r="AE1044" s="214"/>
      <c r="AF1044" s="93"/>
      <c r="AG1044" s="93"/>
      <c r="AH1044" s="93"/>
      <c r="AI1044" s="93"/>
      <c r="AJ1044" s="93"/>
    </row>
    <row r="1045" spans="30:36" ht="18">
      <c r="AD1045" s="93"/>
      <c r="AE1045" s="214"/>
      <c r="AF1045" s="93"/>
      <c r="AG1045" s="93"/>
      <c r="AH1045" s="93"/>
      <c r="AI1045" s="93"/>
      <c r="AJ1045" s="93"/>
    </row>
    <row r="1046" spans="30:36" ht="18">
      <c r="AD1046" s="93"/>
      <c r="AE1046" s="214"/>
      <c r="AF1046" s="93"/>
      <c r="AG1046" s="93"/>
      <c r="AH1046" s="93"/>
      <c r="AI1046" s="93"/>
      <c r="AJ1046" s="93"/>
    </row>
    <row r="1047" spans="30:36" ht="18">
      <c r="AD1047" s="93"/>
      <c r="AE1047" s="214"/>
      <c r="AF1047" s="93"/>
      <c r="AG1047" s="93"/>
      <c r="AH1047" s="93"/>
      <c r="AI1047" s="93"/>
      <c r="AJ1047" s="93"/>
    </row>
    <row r="1048" spans="30:36" ht="18">
      <c r="AD1048" s="93"/>
      <c r="AE1048" s="214"/>
      <c r="AF1048" s="93"/>
      <c r="AG1048" s="93"/>
      <c r="AH1048" s="93"/>
      <c r="AI1048" s="93"/>
      <c r="AJ1048" s="93"/>
    </row>
    <row r="1049" spans="30:36" ht="18">
      <c r="AD1049" s="93"/>
      <c r="AE1049" s="215"/>
      <c r="AF1049" s="93"/>
      <c r="AG1049" s="93"/>
      <c r="AH1049" s="93"/>
      <c r="AI1049" s="93"/>
      <c r="AJ1049" s="93"/>
    </row>
    <row r="1050" spans="30:36" ht="18">
      <c r="AD1050" s="93"/>
      <c r="AE1050" s="215"/>
      <c r="AF1050" s="93"/>
      <c r="AG1050" s="93"/>
      <c r="AH1050" s="93"/>
      <c r="AI1050" s="93"/>
      <c r="AJ1050" s="93"/>
    </row>
    <row r="1051" spans="30:36" ht="18">
      <c r="AD1051" s="93"/>
      <c r="AE1051" s="214"/>
      <c r="AF1051" s="93"/>
      <c r="AG1051" s="93"/>
      <c r="AH1051" s="93"/>
      <c r="AI1051" s="93"/>
      <c r="AJ1051" s="93"/>
    </row>
    <row r="1052" spans="30:36" ht="18">
      <c r="AD1052" s="93"/>
      <c r="AE1052" s="214"/>
      <c r="AF1052" s="93"/>
      <c r="AG1052" s="93"/>
      <c r="AH1052" s="93"/>
      <c r="AI1052" s="93"/>
      <c r="AJ1052" s="93"/>
    </row>
    <row r="1053" spans="30:36" ht="18">
      <c r="AD1053" s="93"/>
      <c r="AE1053" s="214"/>
      <c r="AF1053" s="93"/>
      <c r="AG1053" s="93"/>
      <c r="AH1053" s="93"/>
      <c r="AI1053" s="93"/>
      <c r="AJ1053" s="93"/>
    </row>
    <row r="1054" spans="30:36" ht="18">
      <c r="AD1054" s="93"/>
      <c r="AE1054" s="215"/>
      <c r="AF1054" s="93"/>
      <c r="AG1054" s="93"/>
      <c r="AH1054" s="93"/>
      <c r="AI1054" s="93"/>
      <c r="AJ1054" s="93"/>
    </row>
    <row r="1055" spans="30:36" ht="18">
      <c r="AD1055" s="93"/>
      <c r="AE1055" s="215"/>
      <c r="AF1055" s="93"/>
      <c r="AG1055" s="93"/>
      <c r="AH1055" s="93"/>
      <c r="AI1055" s="93"/>
      <c r="AJ1055" s="93"/>
    </row>
    <row r="1056" spans="30:36" ht="18">
      <c r="AD1056" s="93"/>
      <c r="AE1056" s="214"/>
      <c r="AF1056" s="93"/>
      <c r="AG1056" s="93"/>
      <c r="AH1056" s="93"/>
      <c r="AI1056" s="93"/>
      <c r="AJ1056" s="93"/>
    </row>
    <row r="1057" spans="30:36" ht="18">
      <c r="AD1057" s="93"/>
      <c r="AE1057" s="214"/>
      <c r="AF1057" s="93"/>
      <c r="AG1057" s="93"/>
      <c r="AH1057" s="93"/>
      <c r="AI1057" s="93"/>
      <c r="AJ1057" s="93"/>
    </row>
    <row r="1058" spans="30:36" ht="18">
      <c r="AD1058" s="93"/>
      <c r="AE1058" s="214"/>
      <c r="AF1058" s="93"/>
      <c r="AG1058" s="93"/>
      <c r="AH1058" s="93"/>
      <c r="AI1058" s="93"/>
      <c r="AJ1058" s="93"/>
    </row>
    <row r="1059" spans="30:36" ht="18">
      <c r="AD1059" s="93"/>
      <c r="AE1059" s="214"/>
      <c r="AF1059" s="93"/>
      <c r="AG1059" s="93"/>
      <c r="AH1059" s="93"/>
      <c r="AI1059" s="93"/>
      <c r="AJ1059" s="93"/>
    </row>
    <row r="1060" spans="30:36" ht="18">
      <c r="AD1060" s="93"/>
      <c r="AE1060" s="215"/>
      <c r="AF1060" s="93"/>
      <c r="AG1060" s="93"/>
      <c r="AH1060" s="93"/>
      <c r="AI1060" s="93"/>
      <c r="AJ1060" s="93"/>
    </row>
    <row r="1061" spans="30:36" ht="18">
      <c r="AD1061" s="93"/>
      <c r="AE1061" s="215"/>
      <c r="AF1061" s="93"/>
      <c r="AG1061" s="93"/>
      <c r="AH1061" s="93"/>
      <c r="AI1061" s="93"/>
      <c r="AJ1061" s="93"/>
    </row>
    <row r="1062" spans="30:36" ht="18">
      <c r="AD1062" s="93"/>
      <c r="AE1062" s="214"/>
      <c r="AF1062" s="93"/>
      <c r="AG1062" s="93"/>
      <c r="AH1062" s="93"/>
      <c r="AI1062" s="93"/>
      <c r="AJ1062" s="93"/>
    </row>
    <row r="1063" spans="30:36" ht="18">
      <c r="AD1063" s="93"/>
      <c r="AE1063" s="214"/>
      <c r="AF1063" s="93"/>
      <c r="AG1063" s="93"/>
      <c r="AH1063" s="93"/>
      <c r="AI1063" s="93"/>
      <c r="AJ1063" s="93"/>
    </row>
    <row r="1064" spans="30:36" ht="18">
      <c r="AD1064" s="93"/>
      <c r="AE1064" s="214"/>
      <c r="AF1064" s="93"/>
      <c r="AG1064" s="93"/>
      <c r="AH1064" s="93"/>
      <c r="AI1064" s="93"/>
      <c r="AJ1064" s="93"/>
    </row>
    <row r="1065" spans="30:36" ht="18">
      <c r="AD1065" s="93"/>
      <c r="AE1065" s="214"/>
      <c r="AF1065" s="93"/>
      <c r="AG1065" s="93"/>
      <c r="AH1065" s="93"/>
      <c r="AI1065" s="93"/>
      <c r="AJ1065" s="93"/>
    </row>
    <row r="1066" spans="30:36" ht="18">
      <c r="AD1066" s="93"/>
      <c r="AE1066" s="214"/>
      <c r="AF1066" s="93"/>
      <c r="AG1066" s="93"/>
      <c r="AH1066" s="93"/>
      <c r="AI1066" s="93"/>
      <c r="AJ1066" s="93"/>
    </row>
    <row r="1067" spans="30:36" ht="18">
      <c r="AD1067" s="93"/>
      <c r="AE1067" s="214"/>
      <c r="AF1067" s="93"/>
      <c r="AG1067" s="93"/>
      <c r="AH1067" s="93"/>
      <c r="AI1067" s="93"/>
      <c r="AJ1067" s="93"/>
    </row>
    <row r="1068" spans="30:36" ht="18">
      <c r="AD1068" s="93"/>
      <c r="AE1068" s="214"/>
      <c r="AF1068" s="93"/>
      <c r="AG1068" s="93"/>
      <c r="AH1068" s="93"/>
      <c r="AI1068" s="93"/>
      <c r="AJ1068" s="93"/>
    </row>
    <row r="1069" spans="30:36" ht="18">
      <c r="AD1069" s="93"/>
      <c r="AE1069" s="214"/>
      <c r="AF1069" s="93"/>
      <c r="AG1069" s="93"/>
      <c r="AH1069" s="93"/>
      <c r="AI1069" s="93"/>
      <c r="AJ1069" s="93"/>
    </row>
    <row r="1070" spans="30:36" ht="18">
      <c r="AD1070" s="93"/>
      <c r="AE1070" s="214"/>
      <c r="AF1070" s="93"/>
      <c r="AG1070" s="93"/>
      <c r="AH1070" s="93"/>
      <c r="AI1070" s="93"/>
      <c r="AJ1070" s="93"/>
    </row>
    <row r="1071" spans="30:36" ht="18">
      <c r="AD1071" s="93"/>
      <c r="AE1071" s="214"/>
      <c r="AF1071" s="93"/>
      <c r="AG1071" s="93"/>
      <c r="AH1071" s="93"/>
      <c r="AI1071" s="93"/>
      <c r="AJ1071" s="93"/>
    </row>
    <row r="1072" spans="30:36" ht="18">
      <c r="AD1072" s="93"/>
      <c r="AE1072" s="214"/>
      <c r="AF1072" s="93"/>
      <c r="AG1072" s="93"/>
      <c r="AH1072" s="93"/>
      <c r="AI1072" s="93"/>
      <c r="AJ1072" s="93"/>
    </row>
    <row r="1073" spans="30:36" ht="18">
      <c r="AD1073" s="93"/>
      <c r="AE1073" s="214"/>
      <c r="AF1073" s="93"/>
      <c r="AG1073" s="93"/>
      <c r="AH1073" s="93"/>
      <c r="AI1073" s="93"/>
      <c r="AJ1073" s="93"/>
    </row>
    <row r="1074" spans="30:36" ht="18">
      <c r="AD1074" s="93"/>
      <c r="AE1074" s="214"/>
      <c r="AF1074" s="93"/>
      <c r="AG1074" s="93"/>
      <c r="AH1074" s="93"/>
      <c r="AI1074" s="93"/>
      <c r="AJ1074" s="93"/>
    </row>
    <row r="1075" spans="30:36" ht="18">
      <c r="AD1075" s="93"/>
      <c r="AE1075" s="214"/>
      <c r="AF1075" s="93"/>
      <c r="AG1075" s="93"/>
      <c r="AH1075" s="93"/>
      <c r="AI1075" s="93"/>
      <c r="AJ1075" s="93"/>
    </row>
    <row r="1076" spans="30:36" ht="18">
      <c r="AD1076" s="93"/>
      <c r="AE1076" s="214"/>
      <c r="AF1076" s="93"/>
      <c r="AG1076" s="93"/>
      <c r="AH1076" s="93"/>
      <c r="AI1076" s="93"/>
      <c r="AJ1076" s="93"/>
    </row>
    <row r="1077" spans="30:36" ht="18">
      <c r="AD1077" s="93"/>
      <c r="AE1077" s="214"/>
      <c r="AF1077" s="93"/>
      <c r="AG1077" s="93"/>
      <c r="AH1077" s="93"/>
      <c r="AI1077" s="93"/>
      <c r="AJ1077" s="93"/>
    </row>
    <row r="1078" spans="30:36" ht="18">
      <c r="AD1078" s="93"/>
      <c r="AE1078" s="214"/>
      <c r="AF1078" s="93"/>
      <c r="AG1078" s="93"/>
      <c r="AH1078" s="93"/>
      <c r="AI1078" s="93"/>
      <c r="AJ1078" s="93"/>
    </row>
    <row r="1079" spans="30:36" ht="18">
      <c r="AD1079" s="93"/>
      <c r="AE1079" s="214"/>
      <c r="AF1079" s="93"/>
      <c r="AG1079" s="93"/>
      <c r="AH1079" s="93"/>
      <c r="AI1079" s="93"/>
      <c r="AJ1079" s="93"/>
    </row>
    <row r="1080" spans="30:36" ht="18">
      <c r="AD1080" s="93"/>
      <c r="AE1080" s="214"/>
      <c r="AF1080" s="93"/>
      <c r="AG1080" s="93"/>
      <c r="AH1080" s="93"/>
      <c r="AI1080" s="93"/>
      <c r="AJ1080" s="93"/>
    </row>
    <row r="1081" spans="30:36" ht="18">
      <c r="AD1081" s="93"/>
      <c r="AE1081" s="215"/>
      <c r="AF1081" s="93"/>
      <c r="AG1081" s="93"/>
      <c r="AH1081" s="93"/>
      <c r="AI1081" s="93"/>
      <c r="AJ1081" s="93"/>
    </row>
    <row r="1082" spans="30:36" ht="18">
      <c r="AD1082" s="93"/>
      <c r="AE1082" s="214"/>
      <c r="AF1082" s="93"/>
      <c r="AG1082" s="93"/>
      <c r="AH1082" s="93"/>
      <c r="AI1082" s="93"/>
      <c r="AJ1082" s="93"/>
    </row>
    <row r="1083" spans="30:36" ht="18">
      <c r="AD1083" s="93"/>
      <c r="AE1083" s="214"/>
      <c r="AF1083" s="93"/>
      <c r="AG1083" s="93"/>
      <c r="AH1083" s="93"/>
      <c r="AI1083" s="93"/>
      <c r="AJ1083" s="93"/>
    </row>
    <row r="1084" spans="30:36" ht="18">
      <c r="AD1084" s="93"/>
      <c r="AE1084" s="214"/>
      <c r="AF1084" s="93"/>
      <c r="AG1084" s="93"/>
      <c r="AH1084" s="93"/>
      <c r="AI1084" s="93"/>
      <c r="AJ1084" s="93"/>
    </row>
    <row r="1085" spans="30:36" ht="18">
      <c r="AD1085" s="93"/>
      <c r="AE1085" s="214"/>
      <c r="AF1085" s="93"/>
      <c r="AG1085" s="93"/>
      <c r="AH1085" s="93"/>
      <c r="AI1085" s="93"/>
      <c r="AJ1085" s="93"/>
    </row>
    <row r="1086" spans="30:36" ht="18">
      <c r="AD1086" s="93"/>
      <c r="AE1086" s="214"/>
      <c r="AF1086" s="93"/>
      <c r="AG1086" s="93"/>
      <c r="AH1086" s="93"/>
      <c r="AI1086" s="93"/>
      <c r="AJ1086" s="93"/>
    </row>
    <row r="1087" spans="30:36" ht="18">
      <c r="AD1087" s="93"/>
      <c r="AE1087" s="214"/>
      <c r="AF1087" s="93"/>
      <c r="AG1087" s="93"/>
      <c r="AH1087" s="93"/>
      <c r="AI1087" s="93"/>
      <c r="AJ1087" s="93"/>
    </row>
    <row r="1088" spans="30:36" ht="18">
      <c r="AD1088" s="93"/>
      <c r="AE1088" s="214"/>
      <c r="AF1088" s="93"/>
      <c r="AG1088" s="93"/>
      <c r="AH1088" s="93"/>
      <c r="AI1088" s="93"/>
      <c r="AJ1088" s="93"/>
    </row>
    <row r="1089" spans="30:36" ht="18">
      <c r="AD1089" s="93"/>
      <c r="AE1089" s="214"/>
      <c r="AF1089" s="93"/>
      <c r="AG1089" s="93"/>
      <c r="AH1089" s="93"/>
      <c r="AI1089" s="93"/>
      <c r="AJ1089" s="93"/>
    </row>
    <row r="1090" spans="30:36" ht="18">
      <c r="AD1090" s="93"/>
      <c r="AE1090" s="214"/>
      <c r="AF1090" s="93"/>
      <c r="AG1090" s="93"/>
      <c r="AH1090" s="93"/>
      <c r="AI1090" s="93"/>
      <c r="AJ1090" s="93"/>
    </row>
    <row r="1091" spans="30:36" ht="18">
      <c r="AD1091" s="93"/>
      <c r="AE1091" s="214"/>
      <c r="AF1091" s="93"/>
      <c r="AG1091" s="93"/>
      <c r="AH1091" s="93"/>
      <c r="AI1091" s="93"/>
      <c r="AJ1091" s="93"/>
    </row>
    <row r="1092" spans="30:36" ht="18">
      <c r="AD1092" s="93"/>
      <c r="AE1092" s="214"/>
      <c r="AF1092" s="93"/>
      <c r="AG1092" s="93"/>
      <c r="AH1092" s="93"/>
      <c r="AI1092" s="93"/>
      <c r="AJ1092" s="93"/>
    </row>
    <row r="1093" spans="30:36" ht="18">
      <c r="AD1093" s="93"/>
      <c r="AE1093" s="214"/>
      <c r="AF1093" s="93"/>
      <c r="AG1093" s="93"/>
      <c r="AH1093" s="93"/>
      <c r="AI1093" s="93"/>
      <c r="AJ1093" s="93"/>
    </row>
    <row r="1094" spans="30:36" ht="18">
      <c r="AD1094" s="93"/>
      <c r="AE1094" s="214"/>
      <c r="AF1094" s="93"/>
      <c r="AG1094" s="93"/>
      <c r="AH1094" s="93"/>
      <c r="AI1094" s="93"/>
      <c r="AJ1094" s="93"/>
    </row>
    <row r="1095" spans="30:36" ht="18">
      <c r="AD1095" s="93"/>
      <c r="AE1095" s="214"/>
      <c r="AF1095" s="93"/>
      <c r="AG1095" s="93"/>
      <c r="AH1095" s="93"/>
      <c r="AI1095" s="93"/>
      <c r="AJ1095" s="93"/>
    </row>
    <row r="1096" spans="30:36" ht="18">
      <c r="AD1096" s="93"/>
      <c r="AE1096" s="214"/>
      <c r="AF1096" s="93"/>
      <c r="AG1096" s="93"/>
      <c r="AH1096" s="93"/>
      <c r="AI1096" s="93"/>
      <c r="AJ1096" s="93"/>
    </row>
    <row r="1097" spans="30:36" ht="18">
      <c r="AD1097" s="93"/>
      <c r="AE1097" s="214"/>
      <c r="AF1097" s="93"/>
      <c r="AG1097" s="93"/>
      <c r="AH1097" s="93"/>
      <c r="AI1097" s="93"/>
      <c r="AJ1097" s="93"/>
    </row>
    <row r="1098" spans="30:36" ht="18">
      <c r="AD1098" s="93"/>
      <c r="AE1098" s="214"/>
      <c r="AF1098" s="93"/>
      <c r="AG1098" s="93"/>
      <c r="AH1098" s="93"/>
      <c r="AI1098" s="93"/>
      <c r="AJ1098" s="93"/>
    </row>
    <row r="1099" spans="30:36" ht="18">
      <c r="AD1099" s="93"/>
      <c r="AE1099" s="214"/>
      <c r="AF1099" s="94"/>
      <c r="AG1099" s="93"/>
      <c r="AH1099" s="93"/>
      <c r="AI1099" s="93"/>
      <c r="AJ1099" s="93"/>
    </row>
    <row r="1100" spans="30:36" ht="18">
      <c r="AD1100" s="93"/>
      <c r="AE1100" s="214"/>
      <c r="AF1100" s="94"/>
      <c r="AG1100" s="93"/>
      <c r="AH1100" s="93"/>
      <c r="AI1100" s="93"/>
      <c r="AJ1100" s="93"/>
    </row>
    <row r="1101" spans="30:36" ht="18">
      <c r="AD1101" s="93"/>
      <c r="AE1101" s="214"/>
      <c r="AF1101" s="94"/>
      <c r="AG1101" s="93"/>
      <c r="AH1101" s="93"/>
      <c r="AI1101" s="93"/>
      <c r="AJ1101" s="93"/>
    </row>
    <row r="1102" spans="30:36" ht="18">
      <c r="AD1102" s="93"/>
      <c r="AE1102" s="214"/>
      <c r="AF1102" s="94"/>
      <c r="AG1102" s="93"/>
      <c r="AH1102" s="93"/>
      <c r="AI1102" s="93"/>
      <c r="AJ1102" s="93"/>
    </row>
    <row r="1103" spans="30:36" ht="18">
      <c r="AD1103" s="93"/>
      <c r="AE1103" s="214"/>
      <c r="AF1103" s="94"/>
      <c r="AG1103" s="93"/>
      <c r="AH1103" s="93"/>
      <c r="AI1103" s="93"/>
      <c r="AJ1103" s="93"/>
    </row>
    <row r="1104" spans="30:36" ht="18">
      <c r="AD1104" s="93"/>
      <c r="AE1104" s="214"/>
      <c r="AF1104" s="94"/>
      <c r="AG1104" s="93"/>
      <c r="AH1104" s="93"/>
      <c r="AI1104" s="93"/>
      <c r="AJ1104" s="93"/>
    </row>
    <row r="1105" spans="30:36" ht="18">
      <c r="AD1105" s="93"/>
      <c r="AE1105" s="214"/>
      <c r="AF1105" s="94"/>
      <c r="AG1105" s="93"/>
      <c r="AH1105" s="93"/>
      <c r="AI1105" s="93"/>
      <c r="AJ1105" s="93"/>
    </row>
    <row r="1106" spans="30:36" ht="18">
      <c r="AD1106" s="93"/>
      <c r="AE1106" s="214"/>
      <c r="AF1106" s="94"/>
      <c r="AG1106" s="93"/>
      <c r="AH1106" s="93"/>
      <c r="AI1106" s="93"/>
      <c r="AJ1106" s="93"/>
    </row>
    <row r="1107" spans="30:36" ht="18">
      <c r="AD1107" s="93"/>
      <c r="AE1107" s="214"/>
      <c r="AF1107" s="94"/>
      <c r="AG1107" s="93"/>
      <c r="AH1107" s="93"/>
      <c r="AI1107" s="93"/>
      <c r="AJ1107" s="93"/>
    </row>
    <row r="1108" spans="30:36" ht="18">
      <c r="AD1108" s="93"/>
      <c r="AE1108" s="214"/>
      <c r="AF1108" s="93"/>
      <c r="AG1108" s="93"/>
      <c r="AH1108" s="93"/>
      <c r="AI1108" s="93"/>
      <c r="AJ1108" s="93"/>
    </row>
    <row r="1109" spans="30:36" ht="18">
      <c r="AD1109" s="93"/>
      <c r="AE1109" s="214"/>
      <c r="AF1109" s="93"/>
      <c r="AG1109" s="93"/>
      <c r="AH1109" s="93"/>
      <c r="AI1109" s="93"/>
      <c r="AJ1109" s="93"/>
    </row>
    <row r="1110" spans="30:36" ht="18">
      <c r="AD1110" s="93"/>
      <c r="AE1110" s="214"/>
      <c r="AF1110" s="93"/>
      <c r="AG1110" s="93"/>
      <c r="AH1110" s="93"/>
      <c r="AI1110" s="93"/>
      <c r="AJ1110" s="93"/>
    </row>
    <row r="1111" spans="30:36" ht="18">
      <c r="AD1111" s="93"/>
      <c r="AE1111" s="214"/>
      <c r="AF1111" s="93"/>
      <c r="AG1111" s="93"/>
      <c r="AH1111" s="93"/>
      <c r="AI1111" s="93"/>
      <c r="AJ1111" s="93"/>
    </row>
    <row r="1112" spans="30:36" ht="18">
      <c r="AD1112" s="93"/>
      <c r="AE1112" s="214"/>
      <c r="AF1112" s="93"/>
      <c r="AG1112" s="93"/>
      <c r="AH1112" s="93"/>
      <c r="AI1112" s="93"/>
      <c r="AJ1112" s="93"/>
    </row>
    <row r="1113" spans="30:36" ht="18">
      <c r="AD1113" s="93"/>
      <c r="AE1113" s="214"/>
      <c r="AF1113" s="93"/>
      <c r="AG1113" s="93"/>
      <c r="AH1113" s="93"/>
      <c r="AI1113" s="93"/>
      <c r="AJ1113" s="93"/>
    </row>
    <row r="1114" spans="30:36" ht="18">
      <c r="AD1114" s="93"/>
      <c r="AE1114" s="214"/>
      <c r="AF1114" s="93"/>
      <c r="AG1114" s="93"/>
      <c r="AH1114" s="93"/>
      <c r="AI1114" s="93"/>
      <c r="AJ1114" s="93"/>
    </row>
    <row r="1115" spans="30:36" ht="18">
      <c r="AD1115" s="93"/>
      <c r="AE1115" s="215"/>
      <c r="AF1115" s="93"/>
      <c r="AG1115" s="93"/>
      <c r="AH1115" s="93"/>
      <c r="AI1115" s="93"/>
      <c r="AJ1115" s="93"/>
    </row>
    <row r="1116" spans="30:36" ht="18">
      <c r="AD1116" s="93"/>
      <c r="AE1116" s="215"/>
      <c r="AF1116" s="93"/>
      <c r="AG1116" s="93"/>
      <c r="AH1116" s="93"/>
      <c r="AI1116" s="93"/>
      <c r="AJ1116" s="93"/>
    </row>
    <row r="1117" spans="30:36" ht="18">
      <c r="AD1117" s="93"/>
      <c r="AE1117" s="214"/>
      <c r="AF1117" s="93"/>
      <c r="AG1117" s="93"/>
      <c r="AH1117" s="93"/>
      <c r="AI1117" s="93"/>
      <c r="AJ1117" s="93"/>
    </row>
    <row r="1118" spans="30:36" ht="18">
      <c r="AD1118" s="93"/>
      <c r="AE1118" s="214"/>
      <c r="AF1118" s="93"/>
      <c r="AG1118" s="93"/>
      <c r="AH1118" s="93"/>
      <c r="AI1118" s="93"/>
      <c r="AJ1118" s="93"/>
    </row>
    <row r="1119" spans="30:36" ht="18">
      <c r="AD1119" s="93"/>
      <c r="AE1119" s="214"/>
      <c r="AF1119" s="93"/>
      <c r="AG1119" s="93"/>
      <c r="AH1119" s="93"/>
      <c r="AI1119" s="93"/>
      <c r="AJ1119" s="93"/>
    </row>
    <row r="1120" spans="30:36" ht="18">
      <c r="AD1120" s="93"/>
      <c r="AE1120" s="214"/>
      <c r="AF1120" s="93"/>
      <c r="AG1120" s="93"/>
      <c r="AH1120" s="93"/>
      <c r="AI1120" s="93"/>
      <c r="AJ1120" s="93"/>
    </row>
    <row r="1121" spans="30:36" ht="18">
      <c r="AD1121" s="93"/>
      <c r="AE1121" s="214"/>
      <c r="AF1121" s="93"/>
      <c r="AG1121" s="93"/>
      <c r="AH1121" s="93"/>
      <c r="AI1121" s="93"/>
      <c r="AJ1121" s="93"/>
    </row>
    <row r="1122" spans="30:36" ht="18">
      <c r="AD1122" s="93"/>
      <c r="AE1122" s="214"/>
      <c r="AF1122" s="93"/>
      <c r="AG1122" s="93"/>
      <c r="AH1122" s="93"/>
      <c r="AI1122" s="93"/>
      <c r="AJ1122" s="93"/>
    </row>
    <row r="1123" spans="30:36" ht="18">
      <c r="AD1123" s="93"/>
      <c r="AE1123" s="214"/>
      <c r="AF1123" s="93"/>
      <c r="AG1123" s="93"/>
      <c r="AH1123" s="93"/>
      <c r="AI1123" s="93"/>
      <c r="AJ1123" s="93"/>
    </row>
    <row r="1124" spans="30:36" ht="18">
      <c r="AD1124" s="93"/>
      <c r="AE1124" s="214"/>
      <c r="AF1124" s="93"/>
      <c r="AG1124" s="93"/>
      <c r="AH1124" s="93"/>
      <c r="AI1124" s="93"/>
      <c r="AJ1124" s="93"/>
    </row>
    <row r="1125" spans="30:36" ht="18">
      <c r="AD1125" s="93"/>
      <c r="AE1125" s="214"/>
      <c r="AF1125" s="93"/>
      <c r="AG1125" s="93"/>
      <c r="AH1125" s="93"/>
      <c r="AI1125" s="93"/>
      <c r="AJ1125" s="93"/>
    </row>
    <row r="1126" spans="30:36" ht="18">
      <c r="AD1126" s="93"/>
      <c r="AE1126" s="214"/>
      <c r="AF1126" s="93"/>
      <c r="AG1126" s="93"/>
      <c r="AH1126" s="93"/>
      <c r="AI1126" s="93"/>
      <c r="AJ1126" s="93"/>
    </row>
    <row r="1127" spans="30:36" ht="18">
      <c r="AD1127" s="93"/>
      <c r="AE1127" s="214"/>
      <c r="AF1127" s="93"/>
      <c r="AG1127" s="93"/>
      <c r="AH1127" s="93"/>
      <c r="AI1127" s="93"/>
      <c r="AJ1127" s="93"/>
    </row>
    <row r="1128" spans="30:36" ht="18">
      <c r="AD1128" s="93"/>
      <c r="AE1128" s="214"/>
      <c r="AF1128" s="93"/>
      <c r="AG1128" s="93"/>
      <c r="AH1128" s="93"/>
      <c r="AI1128" s="93"/>
      <c r="AJ1128" s="93"/>
    </row>
    <row r="1129" spans="30:36" ht="18">
      <c r="AD1129" s="93"/>
      <c r="AE1129" s="214"/>
      <c r="AF1129" s="93"/>
      <c r="AG1129" s="93"/>
      <c r="AH1129" s="93"/>
      <c r="AI1129" s="93"/>
      <c r="AJ1129" s="93"/>
    </row>
    <row r="1130" spans="30:36" ht="18">
      <c r="AD1130" s="93"/>
      <c r="AE1130" s="214"/>
      <c r="AF1130" s="93"/>
      <c r="AG1130" s="93"/>
      <c r="AH1130" s="93"/>
      <c r="AI1130" s="93"/>
      <c r="AJ1130" s="93"/>
    </row>
    <row r="1131" spans="30:36" ht="18">
      <c r="AD1131" s="93"/>
      <c r="AE1131" s="214"/>
      <c r="AF1131" s="93"/>
      <c r="AG1131" s="93"/>
      <c r="AH1131" s="93"/>
      <c r="AI1131" s="93"/>
      <c r="AJ1131" s="93"/>
    </row>
    <row r="1132" spans="30:36" ht="18">
      <c r="AD1132" s="93"/>
      <c r="AE1132" s="214"/>
      <c r="AF1132" s="93"/>
      <c r="AG1132" s="93"/>
      <c r="AH1132" s="93"/>
      <c r="AI1132" s="93"/>
      <c r="AJ1132" s="93"/>
    </row>
    <row r="1133" spans="30:36" ht="18">
      <c r="AD1133" s="93"/>
      <c r="AE1133" s="214"/>
      <c r="AF1133" s="93"/>
      <c r="AG1133" s="93"/>
      <c r="AH1133" s="93"/>
      <c r="AI1133" s="93"/>
      <c r="AJ1133" s="93"/>
    </row>
    <row r="1134" spans="30:36" ht="18">
      <c r="AD1134" s="93"/>
      <c r="AE1134" s="214"/>
      <c r="AF1134" s="93"/>
      <c r="AG1134" s="93"/>
      <c r="AH1134" s="93"/>
      <c r="AI1134" s="93"/>
      <c r="AJ1134" s="93"/>
    </row>
    <row r="1135" spans="30:36" ht="18">
      <c r="AD1135" s="93"/>
      <c r="AE1135" s="214"/>
      <c r="AF1135" s="93"/>
      <c r="AG1135" s="93"/>
      <c r="AH1135" s="93"/>
      <c r="AI1135" s="93"/>
      <c r="AJ1135" s="93"/>
    </row>
    <row r="1136" spans="30:36" ht="18">
      <c r="AD1136" s="93"/>
      <c r="AE1136" s="214"/>
      <c r="AF1136" s="93"/>
      <c r="AG1136" s="93"/>
      <c r="AH1136" s="93"/>
      <c r="AI1136" s="93"/>
      <c r="AJ1136" s="93"/>
    </row>
    <row r="1137" spans="30:36" ht="18">
      <c r="AD1137" s="93"/>
      <c r="AE1137" s="214"/>
      <c r="AF1137" s="93"/>
      <c r="AG1137" s="93"/>
      <c r="AH1137" s="93"/>
      <c r="AI1137" s="93"/>
      <c r="AJ1137" s="93"/>
    </row>
    <row r="1138" spans="30:36" ht="18">
      <c r="AD1138" s="93"/>
      <c r="AE1138" s="214"/>
      <c r="AF1138" s="93"/>
      <c r="AG1138" s="93"/>
      <c r="AH1138" s="93"/>
      <c r="AI1138" s="93"/>
      <c r="AJ1138" s="93"/>
    </row>
    <row r="1139" spans="30:36" ht="18">
      <c r="AD1139" s="93"/>
      <c r="AE1139" s="214"/>
      <c r="AF1139" s="93"/>
      <c r="AG1139" s="93"/>
      <c r="AH1139" s="93"/>
      <c r="AI1139" s="93"/>
      <c r="AJ1139" s="93"/>
    </row>
    <row r="1140" spans="30:36" ht="18">
      <c r="AD1140" s="93"/>
      <c r="AE1140" s="214"/>
      <c r="AF1140" s="93"/>
      <c r="AG1140" s="93"/>
      <c r="AH1140" s="93"/>
      <c r="AI1140" s="93"/>
      <c r="AJ1140" s="93"/>
    </row>
    <row r="1141" spans="30:36" ht="18">
      <c r="AD1141" s="93"/>
      <c r="AE1141" s="214"/>
      <c r="AF1141" s="93"/>
      <c r="AG1141" s="93"/>
      <c r="AH1141" s="93"/>
      <c r="AI1141" s="93"/>
      <c r="AJ1141" s="93"/>
    </row>
    <row r="1142" spans="30:36" ht="18">
      <c r="AD1142" s="93"/>
      <c r="AE1142" s="214"/>
      <c r="AF1142" s="93"/>
      <c r="AG1142" s="93"/>
      <c r="AH1142" s="93"/>
      <c r="AI1142" s="93"/>
      <c r="AJ1142" s="93"/>
    </row>
    <row r="1143" spans="30:36" ht="18">
      <c r="AD1143" s="93"/>
      <c r="AE1143" s="214"/>
      <c r="AF1143" s="93"/>
      <c r="AG1143" s="93"/>
      <c r="AH1143" s="93"/>
      <c r="AI1143" s="93"/>
      <c r="AJ1143" s="93"/>
    </row>
    <row r="1144" spans="30:36" ht="18">
      <c r="AD1144" s="93"/>
      <c r="AE1144" s="214"/>
      <c r="AF1144" s="93"/>
      <c r="AG1144" s="93"/>
      <c r="AH1144" s="93"/>
      <c r="AI1144" s="93"/>
      <c r="AJ1144" s="93"/>
    </row>
    <row r="1145" spans="30:36" ht="18">
      <c r="AD1145" s="93"/>
      <c r="AE1145" s="214"/>
      <c r="AF1145" s="93"/>
      <c r="AG1145" s="93"/>
      <c r="AH1145" s="93"/>
      <c r="AI1145" s="93"/>
      <c r="AJ1145" s="93"/>
    </row>
    <row r="1146" spans="30:36" ht="18">
      <c r="AD1146" s="93"/>
      <c r="AE1146" s="214"/>
      <c r="AF1146" s="93"/>
      <c r="AG1146" s="93"/>
      <c r="AH1146" s="93"/>
      <c r="AI1146" s="93"/>
      <c r="AJ1146" s="93"/>
    </row>
    <row r="1147" spans="30:36" ht="18">
      <c r="AD1147" s="93"/>
      <c r="AE1147" s="215"/>
      <c r="AF1147" s="93"/>
      <c r="AG1147" s="93"/>
      <c r="AH1147" s="93"/>
      <c r="AI1147" s="93"/>
      <c r="AJ1147" s="93"/>
    </row>
    <row r="1148" spans="30:36" ht="18">
      <c r="AD1148" s="93"/>
      <c r="AE1148" s="214"/>
      <c r="AF1148" s="93"/>
      <c r="AG1148" s="93"/>
      <c r="AH1148" s="93"/>
      <c r="AI1148" s="93"/>
      <c r="AJ1148" s="93"/>
    </row>
    <row r="1149" spans="30:36" ht="18">
      <c r="AD1149" s="93"/>
      <c r="AE1149" s="214"/>
      <c r="AF1149" s="93"/>
      <c r="AG1149" s="93"/>
      <c r="AH1149" s="93"/>
      <c r="AI1149" s="93"/>
      <c r="AJ1149" s="93"/>
    </row>
    <row r="1150" spans="30:36" ht="18">
      <c r="AD1150" s="93"/>
      <c r="AE1150" s="214"/>
      <c r="AF1150" s="93"/>
      <c r="AG1150" s="93"/>
      <c r="AH1150" s="93"/>
      <c r="AI1150" s="93"/>
      <c r="AJ1150" s="93"/>
    </row>
    <row r="1151" spans="30:36" ht="18">
      <c r="AD1151" s="93"/>
      <c r="AE1151" s="214"/>
      <c r="AF1151" s="93"/>
      <c r="AG1151" s="93"/>
      <c r="AH1151" s="93"/>
      <c r="AI1151" s="93"/>
      <c r="AJ1151" s="93"/>
    </row>
    <row r="1152" spans="30:36" ht="18">
      <c r="AD1152" s="93"/>
      <c r="AE1152" s="214"/>
      <c r="AF1152" s="93"/>
      <c r="AG1152" s="93"/>
      <c r="AH1152" s="93"/>
      <c r="AI1152" s="93"/>
      <c r="AJ1152" s="93"/>
    </row>
    <row r="1153" spans="30:36" ht="18">
      <c r="AD1153" s="93"/>
      <c r="AE1153" s="214"/>
      <c r="AF1153" s="93"/>
      <c r="AG1153" s="93"/>
      <c r="AH1153" s="93"/>
      <c r="AI1153" s="93"/>
      <c r="AJ1153" s="93"/>
    </row>
    <row r="1154" spans="30:36" ht="18">
      <c r="AD1154" s="93"/>
      <c r="AE1154" s="214"/>
      <c r="AF1154" s="93"/>
      <c r="AG1154" s="93"/>
      <c r="AH1154" s="93"/>
      <c r="AI1154" s="93"/>
      <c r="AJ1154" s="93"/>
    </row>
    <row r="1155" spans="30:36" ht="18">
      <c r="AD1155" s="93"/>
      <c r="AE1155" s="214"/>
      <c r="AF1155" s="93"/>
      <c r="AG1155" s="93"/>
      <c r="AH1155" s="93"/>
      <c r="AI1155" s="93"/>
      <c r="AJ1155" s="93"/>
    </row>
    <row r="1156" spans="30:36" ht="18">
      <c r="AD1156" s="93"/>
      <c r="AE1156" s="214"/>
      <c r="AF1156" s="93"/>
      <c r="AG1156" s="93"/>
      <c r="AH1156" s="93"/>
      <c r="AI1156" s="93"/>
      <c r="AJ1156" s="93"/>
    </row>
    <row r="1157" spans="30:36" ht="18">
      <c r="AD1157" s="93"/>
      <c r="AE1157" s="214"/>
      <c r="AF1157" s="93"/>
      <c r="AG1157" s="93"/>
      <c r="AH1157" s="93"/>
      <c r="AI1157" s="93"/>
      <c r="AJ1157" s="93"/>
    </row>
    <row r="1158" spans="30:36" ht="18">
      <c r="AD1158" s="93"/>
      <c r="AE1158" s="214"/>
      <c r="AF1158" s="93"/>
      <c r="AG1158" s="93"/>
      <c r="AH1158" s="93"/>
      <c r="AI1158" s="93"/>
      <c r="AJ1158" s="93"/>
    </row>
    <row r="1159" spans="30:36" ht="18">
      <c r="AD1159" s="93"/>
      <c r="AE1159" s="214"/>
      <c r="AF1159" s="93"/>
      <c r="AG1159" s="93"/>
      <c r="AH1159" s="93"/>
      <c r="AI1159" s="93"/>
      <c r="AJ1159" s="93"/>
    </row>
    <row r="1160" spans="30:36" ht="18">
      <c r="AD1160" s="93"/>
      <c r="AE1160" s="214"/>
      <c r="AF1160" s="93"/>
      <c r="AG1160" s="93"/>
      <c r="AH1160" s="93"/>
      <c r="AI1160" s="93"/>
      <c r="AJ1160" s="93"/>
    </row>
    <row r="1161" spans="30:36" ht="18">
      <c r="AD1161" s="93"/>
      <c r="AE1161" s="214"/>
      <c r="AF1161" s="93"/>
      <c r="AG1161" s="93"/>
      <c r="AH1161" s="93"/>
      <c r="AI1161" s="93"/>
      <c r="AJ1161" s="93"/>
    </row>
    <row r="1162" spans="30:36" ht="18">
      <c r="AD1162" s="93"/>
      <c r="AE1162" s="214"/>
      <c r="AF1162" s="93"/>
      <c r="AG1162" s="93"/>
      <c r="AH1162" s="93"/>
      <c r="AI1162" s="93"/>
      <c r="AJ1162" s="93"/>
    </row>
    <row r="1163" spans="30:36" ht="18">
      <c r="AD1163" s="93"/>
      <c r="AE1163" s="214"/>
      <c r="AF1163" s="93"/>
      <c r="AG1163" s="93"/>
      <c r="AH1163" s="93"/>
      <c r="AI1163" s="93"/>
      <c r="AJ1163" s="93"/>
    </row>
    <row r="1164" spans="30:36" ht="18">
      <c r="AD1164" s="93"/>
      <c r="AE1164" s="214"/>
      <c r="AF1164" s="93"/>
      <c r="AG1164" s="93"/>
      <c r="AH1164" s="93"/>
      <c r="AI1164" s="93"/>
      <c r="AJ1164" s="93"/>
    </row>
    <row r="1165" spans="30:36" ht="18">
      <c r="AD1165" s="93"/>
      <c r="AE1165" s="214"/>
      <c r="AF1165" s="94"/>
      <c r="AG1165" s="93"/>
      <c r="AH1165" s="93"/>
      <c r="AI1165" s="93"/>
      <c r="AJ1165" s="93"/>
    </row>
    <row r="1166" spans="30:36" ht="18">
      <c r="AD1166" s="93"/>
      <c r="AE1166" s="214"/>
      <c r="AF1166" s="94"/>
      <c r="AG1166" s="93"/>
      <c r="AH1166" s="93"/>
      <c r="AI1166" s="93"/>
      <c r="AJ1166" s="93"/>
    </row>
    <row r="1167" spans="30:36" ht="18">
      <c r="AD1167" s="93"/>
      <c r="AE1167" s="214"/>
      <c r="AF1167" s="94"/>
      <c r="AG1167" s="93"/>
      <c r="AH1167" s="93"/>
      <c r="AI1167" s="93"/>
      <c r="AJ1167" s="93"/>
    </row>
    <row r="1168" spans="30:36" ht="18">
      <c r="AD1168" s="93"/>
      <c r="AE1168" s="214"/>
      <c r="AF1168" s="94"/>
      <c r="AG1168" s="93"/>
      <c r="AH1168" s="93"/>
      <c r="AI1168" s="93"/>
      <c r="AJ1168" s="93"/>
    </row>
    <row r="1169" spans="30:36" ht="18">
      <c r="AD1169" s="93"/>
      <c r="AE1169" s="214"/>
      <c r="AF1169" s="94"/>
      <c r="AG1169" s="93"/>
      <c r="AH1169" s="93"/>
      <c r="AI1169" s="93"/>
      <c r="AJ1169" s="93"/>
    </row>
    <row r="1170" spans="30:36" ht="18">
      <c r="AD1170" s="93"/>
      <c r="AE1170" s="214"/>
      <c r="AF1170" s="94"/>
      <c r="AG1170" s="93"/>
      <c r="AH1170" s="93"/>
      <c r="AI1170" s="93"/>
      <c r="AJ1170" s="93"/>
    </row>
    <row r="1171" spans="30:36" ht="18">
      <c r="AD1171" s="93"/>
      <c r="AE1171" s="214"/>
      <c r="AF1171" s="94"/>
      <c r="AG1171" s="93"/>
      <c r="AH1171" s="93"/>
      <c r="AI1171" s="93"/>
      <c r="AJ1171" s="93"/>
    </row>
    <row r="1172" spans="30:36" ht="18">
      <c r="AD1172" s="93"/>
      <c r="AE1172" s="214"/>
      <c r="AF1172" s="94"/>
      <c r="AG1172" s="93"/>
      <c r="AH1172" s="93"/>
      <c r="AI1172" s="93"/>
      <c r="AJ1172" s="93"/>
    </row>
    <row r="1173" spans="30:36" ht="18">
      <c r="AD1173" s="93"/>
      <c r="AE1173" s="214"/>
      <c r="AF1173" s="94"/>
      <c r="AG1173" s="93"/>
      <c r="AH1173" s="93"/>
      <c r="AI1173" s="93"/>
      <c r="AJ1173" s="93"/>
    </row>
    <row r="1174" spans="30:36" ht="18">
      <c r="AD1174" s="93"/>
      <c r="AE1174" s="214"/>
      <c r="AF1174" s="94"/>
      <c r="AG1174" s="93"/>
      <c r="AH1174" s="93"/>
      <c r="AI1174" s="93"/>
      <c r="AJ1174" s="93"/>
    </row>
    <row r="1175" spans="30:36" ht="18">
      <c r="AD1175" s="93"/>
      <c r="AE1175" s="215"/>
      <c r="AF1175" s="93"/>
      <c r="AG1175" s="93"/>
      <c r="AH1175" s="93"/>
      <c r="AI1175" s="93"/>
      <c r="AJ1175" s="93"/>
    </row>
    <row r="1176" spans="30:36" ht="18">
      <c r="AD1176" s="93"/>
      <c r="AE1176" s="215"/>
      <c r="AF1176" s="93"/>
      <c r="AG1176" s="93"/>
      <c r="AH1176" s="93"/>
      <c r="AI1176" s="93"/>
      <c r="AJ1176" s="93"/>
    </row>
    <row r="1177" spans="30:36" ht="18">
      <c r="AD1177" s="93"/>
      <c r="AE1177" s="214"/>
      <c r="AF1177" s="93"/>
      <c r="AG1177" s="93"/>
      <c r="AH1177" s="93"/>
      <c r="AI1177" s="93"/>
      <c r="AJ1177" s="93"/>
    </row>
    <row r="1178" spans="30:36" ht="18">
      <c r="AD1178" s="93"/>
      <c r="AE1178" s="214"/>
      <c r="AF1178" s="93"/>
      <c r="AG1178" s="93"/>
      <c r="AH1178" s="93"/>
      <c r="AI1178" s="93"/>
      <c r="AJ1178" s="93"/>
    </row>
    <row r="1179" spans="30:36" ht="18">
      <c r="AD1179" s="93"/>
      <c r="AE1179" s="214"/>
      <c r="AF1179" s="93"/>
      <c r="AG1179" s="93"/>
      <c r="AH1179" s="93"/>
      <c r="AI1179" s="93"/>
      <c r="AJ1179" s="93"/>
    </row>
    <row r="1180" spans="30:36" ht="18">
      <c r="AD1180" s="93"/>
      <c r="AE1180" s="214"/>
      <c r="AF1180" s="93"/>
      <c r="AG1180" s="93"/>
      <c r="AH1180" s="93"/>
      <c r="AI1180" s="93"/>
      <c r="AJ1180" s="93"/>
    </row>
    <row r="1181" spans="30:36" ht="18">
      <c r="AD1181" s="93"/>
      <c r="AE1181" s="214"/>
      <c r="AF1181" s="93"/>
      <c r="AG1181" s="93"/>
      <c r="AH1181" s="93"/>
      <c r="AI1181" s="93"/>
      <c r="AJ1181" s="93"/>
    </row>
    <row r="1182" spans="30:36" ht="18">
      <c r="AD1182" s="93"/>
      <c r="AE1182" s="215"/>
      <c r="AF1182" s="93"/>
      <c r="AG1182" s="93"/>
      <c r="AH1182" s="93"/>
      <c r="AI1182" s="93"/>
      <c r="AJ1182" s="93"/>
    </row>
    <row r="1183" spans="30:36" ht="18">
      <c r="AD1183" s="93"/>
      <c r="AE1183" s="215"/>
      <c r="AF1183" s="93"/>
      <c r="AG1183" s="93"/>
      <c r="AH1183" s="93"/>
      <c r="AI1183" s="93"/>
      <c r="AJ1183" s="93"/>
    </row>
    <row r="1184" spans="30:36" ht="18">
      <c r="AD1184" s="93"/>
      <c r="AE1184" s="214"/>
      <c r="AF1184" s="93"/>
      <c r="AG1184" s="93"/>
      <c r="AH1184" s="93"/>
      <c r="AI1184" s="93"/>
      <c r="AJ1184" s="93"/>
    </row>
    <row r="1185" spans="30:36" ht="18">
      <c r="AD1185" s="93"/>
      <c r="AE1185" s="214"/>
      <c r="AF1185" s="93"/>
      <c r="AG1185" s="93"/>
      <c r="AH1185" s="93"/>
      <c r="AI1185" s="93"/>
      <c r="AJ1185" s="93"/>
    </row>
    <row r="1186" spans="30:36" ht="18">
      <c r="AD1186" s="93"/>
      <c r="AE1186" s="214"/>
      <c r="AF1186" s="93"/>
      <c r="AG1186" s="93"/>
      <c r="AH1186" s="93"/>
      <c r="AI1186" s="93"/>
      <c r="AJ1186" s="93"/>
    </row>
    <row r="1187" spans="30:36" ht="18">
      <c r="AD1187" s="93"/>
      <c r="AE1187" s="214"/>
      <c r="AF1187" s="93"/>
      <c r="AG1187" s="93"/>
      <c r="AH1187" s="93"/>
      <c r="AI1187" s="93"/>
      <c r="AJ1187" s="93"/>
    </row>
    <row r="1188" spans="30:36" ht="18">
      <c r="AD1188" s="93"/>
      <c r="AE1188" s="214"/>
      <c r="AF1188" s="93"/>
      <c r="AG1188" s="93"/>
      <c r="AH1188" s="93"/>
      <c r="AI1188" s="93"/>
      <c r="AJ1188" s="93"/>
    </row>
    <row r="1189" spans="30:36" ht="18">
      <c r="AD1189" s="93"/>
      <c r="AE1189" s="214"/>
      <c r="AF1189" s="93"/>
      <c r="AG1189" s="93"/>
      <c r="AH1189" s="93"/>
      <c r="AI1189" s="93"/>
      <c r="AJ1189" s="93"/>
    </row>
    <row r="1190" spans="30:36" ht="18">
      <c r="AD1190" s="93"/>
      <c r="AE1190" s="214"/>
      <c r="AF1190" s="93"/>
      <c r="AG1190" s="93"/>
      <c r="AH1190" s="93"/>
      <c r="AI1190" s="93"/>
      <c r="AJ1190" s="93"/>
    </row>
    <row r="1191" spans="30:36" ht="18">
      <c r="AD1191" s="93"/>
      <c r="AE1191" s="215"/>
      <c r="AF1191" s="93"/>
      <c r="AG1191" s="93"/>
      <c r="AH1191" s="93"/>
      <c r="AI1191" s="93"/>
      <c r="AJ1191" s="93"/>
    </row>
    <row r="1192" spans="30:36" ht="18">
      <c r="AD1192" s="93"/>
      <c r="AE1192" s="215"/>
      <c r="AF1192" s="93"/>
      <c r="AG1192" s="93"/>
      <c r="AH1192" s="93"/>
      <c r="AI1192" s="93"/>
      <c r="AJ1192" s="93"/>
    </row>
    <row r="1193" spans="30:36" ht="18">
      <c r="AD1193" s="93"/>
      <c r="AE1193" s="214"/>
      <c r="AF1193" s="93"/>
      <c r="AG1193" s="93"/>
      <c r="AH1193" s="93"/>
      <c r="AI1193" s="93"/>
      <c r="AJ1193" s="93"/>
    </row>
    <row r="1194" spans="30:36" ht="18">
      <c r="AD1194" s="93"/>
      <c r="AE1194" s="214"/>
      <c r="AF1194" s="93"/>
      <c r="AG1194" s="93"/>
      <c r="AH1194" s="93"/>
      <c r="AI1194" s="93"/>
      <c r="AJ1194" s="93"/>
    </row>
    <row r="1195" spans="30:36" ht="18">
      <c r="AD1195" s="93"/>
      <c r="AE1195" s="214"/>
      <c r="AF1195" s="93"/>
      <c r="AG1195" s="93"/>
      <c r="AH1195" s="93"/>
      <c r="AI1195" s="93"/>
      <c r="AJ1195" s="93"/>
    </row>
    <row r="1196" spans="30:36" ht="18">
      <c r="AD1196" s="93"/>
      <c r="AE1196" s="214"/>
      <c r="AF1196" s="93"/>
      <c r="AG1196" s="93"/>
      <c r="AH1196" s="93"/>
      <c r="AI1196" s="93"/>
      <c r="AJ1196" s="93"/>
    </row>
    <row r="1197" spans="30:36" ht="18">
      <c r="AD1197" s="93"/>
      <c r="AE1197" s="214"/>
      <c r="AF1197" s="93"/>
      <c r="AG1197" s="93"/>
      <c r="AH1197" s="93"/>
      <c r="AI1197" s="93"/>
      <c r="AJ1197" s="93"/>
    </row>
    <row r="1198" spans="30:36" ht="18">
      <c r="AD1198" s="93"/>
      <c r="AE1198" s="214"/>
      <c r="AF1198" s="93"/>
      <c r="AG1198" s="93"/>
      <c r="AH1198" s="93"/>
      <c r="AI1198" s="93"/>
      <c r="AJ1198" s="93"/>
    </row>
    <row r="1199" spans="30:36" ht="18">
      <c r="AD1199" s="93"/>
      <c r="AE1199" s="214"/>
      <c r="AF1199" s="93"/>
      <c r="AG1199" s="93"/>
      <c r="AH1199" s="93"/>
      <c r="AI1199" s="93"/>
      <c r="AJ1199" s="93"/>
    </row>
    <row r="1200" spans="30:36" ht="18">
      <c r="AD1200" s="93"/>
      <c r="AE1200" s="215"/>
      <c r="AF1200" s="93"/>
      <c r="AG1200" s="93"/>
      <c r="AH1200" s="93"/>
      <c r="AI1200" s="93"/>
      <c r="AJ1200" s="93"/>
    </row>
    <row r="1201" spans="30:36" ht="18">
      <c r="AD1201" s="93"/>
      <c r="AE1201" s="215"/>
      <c r="AF1201" s="93"/>
      <c r="AG1201" s="93"/>
      <c r="AH1201" s="93"/>
      <c r="AI1201" s="93"/>
      <c r="AJ1201" s="93"/>
    </row>
    <row r="1202" spans="30:36" ht="18">
      <c r="AD1202" s="93"/>
      <c r="AE1202" s="214"/>
      <c r="AF1202" s="93"/>
      <c r="AG1202" s="93"/>
      <c r="AH1202" s="93"/>
      <c r="AI1202" s="93"/>
      <c r="AJ1202" s="93"/>
    </row>
    <row r="1203" spans="30:36" ht="18">
      <c r="AD1203" s="93"/>
      <c r="AE1203" s="214"/>
      <c r="AF1203" s="93"/>
      <c r="AG1203" s="93"/>
      <c r="AH1203" s="93"/>
      <c r="AI1203" s="93"/>
      <c r="AJ1203" s="93"/>
    </row>
    <row r="1204" spans="30:36" ht="18">
      <c r="AD1204" s="93"/>
      <c r="AE1204" s="214"/>
      <c r="AF1204" s="93"/>
      <c r="AG1204" s="93"/>
      <c r="AH1204" s="93"/>
      <c r="AI1204" s="93"/>
      <c r="AJ1204" s="93"/>
    </row>
    <row r="1205" spans="30:36" ht="18">
      <c r="AD1205" s="93"/>
      <c r="AE1205" s="214"/>
      <c r="AF1205" s="93"/>
      <c r="AG1205" s="93"/>
      <c r="AH1205" s="93"/>
      <c r="AI1205" s="93"/>
      <c r="AJ1205" s="93"/>
    </row>
    <row r="1206" spans="30:36" ht="18">
      <c r="AD1206" s="93"/>
      <c r="AE1206" s="214"/>
      <c r="AF1206" s="93"/>
      <c r="AG1206" s="93"/>
      <c r="AH1206" s="93"/>
      <c r="AI1206" s="93"/>
      <c r="AJ1206" s="93"/>
    </row>
    <row r="1207" spans="30:36" ht="18">
      <c r="AD1207" s="93"/>
      <c r="AE1207" s="214"/>
      <c r="AF1207" s="93"/>
      <c r="AG1207" s="93"/>
      <c r="AH1207" s="93"/>
      <c r="AI1207" s="93"/>
      <c r="AJ1207" s="93"/>
    </row>
    <row r="1208" spans="30:36" ht="18">
      <c r="AD1208" s="93"/>
      <c r="AE1208" s="214"/>
      <c r="AF1208" s="93"/>
      <c r="AG1208" s="93"/>
      <c r="AH1208" s="93"/>
      <c r="AI1208" s="93"/>
      <c r="AJ1208" s="93"/>
    </row>
    <row r="1209" spans="30:36" ht="18">
      <c r="AD1209" s="93"/>
      <c r="AE1209" s="214"/>
      <c r="AF1209" s="93"/>
      <c r="AG1209" s="93"/>
      <c r="AH1209" s="93"/>
      <c r="AI1209" s="93"/>
      <c r="AJ1209" s="93"/>
    </row>
    <row r="1210" spans="30:36" ht="18">
      <c r="AD1210" s="93"/>
      <c r="AE1210" s="214"/>
      <c r="AF1210" s="93"/>
      <c r="AG1210" s="93"/>
      <c r="AH1210" s="93"/>
      <c r="AI1210" s="93"/>
      <c r="AJ1210" s="93"/>
    </row>
    <row r="1211" spans="30:36" ht="18">
      <c r="AD1211" s="93"/>
      <c r="AE1211" s="214"/>
      <c r="AF1211" s="93"/>
      <c r="AG1211" s="93"/>
      <c r="AH1211" s="93"/>
      <c r="AI1211" s="93"/>
      <c r="AJ1211" s="93"/>
    </row>
    <row r="1212" spans="30:36" ht="18">
      <c r="AD1212" s="93"/>
      <c r="AE1212" s="214"/>
      <c r="AF1212" s="93"/>
      <c r="AG1212" s="93"/>
      <c r="AH1212" s="93"/>
      <c r="AI1212" s="93"/>
      <c r="AJ1212" s="93"/>
    </row>
    <row r="1213" spans="30:36" ht="18">
      <c r="AD1213" s="93"/>
      <c r="AE1213" s="214"/>
      <c r="AF1213" s="93"/>
      <c r="AG1213" s="93"/>
      <c r="AH1213" s="93"/>
      <c r="AI1213" s="93"/>
      <c r="AJ1213" s="93"/>
    </row>
    <row r="1214" spans="30:36" ht="18">
      <c r="AD1214" s="93"/>
      <c r="AE1214" s="215"/>
      <c r="AF1214" s="93"/>
      <c r="AG1214" s="93"/>
      <c r="AH1214" s="93"/>
      <c r="AI1214" s="93"/>
      <c r="AJ1214" s="93"/>
    </row>
    <row r="1215" spans="30:36" ht="18">
      <c r="AD1215" s="93"/>
      <c r="AE1215" s="215"/>
      <c r="AF1215" s="93"/>
      <c r="AG1215" s="93"/>
      <c r="AH1215" s="93"/>
      <c r="AI1215" s="93"/>
      <c r="AJ1215" s="93"/>
    </row>
    <row r="1216" spans="30:36" ht="18">
      <c r="AD1216" s="93"/>
      <c r="AE1216" s="214"/>
      <c r="AF1216" s="93"/>
      <c r="AG1216" s="93"/>
      <c r="AH1216" s="93"/>
      <c r="AI1216" s="93"/>
      <c r="AJ1216" s="93"/>
    </row>
    <row r="1217" spans="30:36" ht="18">
      <c r="AD1217" s="93"/>
      <c r="AE1217" s="214"/>
      <c r="AF1217" s="93"/>
      <c r="AG1217" s="93"/>
      <c r="AH1217" s="93"/>
      <c r="AI1217" s="93"/>
      <c r="AJ1217" s="93"/>
    </row>
    <row r="1218" spans="30:36" ht="18">
      <c r="AD1218" s="93"/>
      <c r="AE1218" s="214"/>
      <c r="AF1218" s="93"/>
      <c r="AG1218" s="93"/>
      <c r="AH1218" s="93"/>
      <c r="AI1218" s="93"/>
      <c r="AJ1218" s="93"/>
    </row>
    <row r="1219" spans="30:36" ht="18">
      <c r="AD1219" s="93"/>
      <c r="AE1219" s="214"/>
      <c r="AF1219" s="93"/>
      <c r="AG1219" s="93"/>
      <c r="AH1219" s="93"/>
      <c r="AI1219" s="93"/>
      <c r="AJ1219" s="93"/>
    </row>
    <row r="1220" spans="30:36" ht="18">
      <c r="AD1220" s="93"/>
      <c r="AE1220" s="214"/>
      <c r="AF1220" s="93"/>
      <c r="AG1220" s="93"/>
      <c r="AH1220" s="93"/>
      <c r="AI1220" s="93"/>
      <c r="AJ1220" s="93"/>
    </row>
    <row r="1221" spans="30:36" ht="18">
      <c r="AD1221" s="93"/>
      <c r="AE1221" s="214"/>
      <c r="AF1221" s="93"/>
      <c r="AG1221" s="93"/>
      <c r="AH1221" s="93"/>
      <c r="AI1221" s="93"/>
      <c r="AJ1221" s="93"/>
    </row>
    <row r="1222" spans="30:36" ht="18">
      <c r="AD1222" s="93"/>
      <c r="AE1222" s="214"/>
      <c r="AF1222" s="93"/>
      <c r="AG1222" s="93"/>
      <c r="AH1222" s="93"/>
      <c r="AI1222" s="93"/>
      <c r="AJ1222" s="93"/>
    </row>
    <row r="1223" spans="30:36" ht="18">
      <c r="AD1223" s="93"/>
      <c r="AE1223" s="214"/>
      <c r="AF1223" s="93"/>
      <c r="AG1223" s="93"/>
      <c r="AH1223" s="93"/>
      <c r="AI1223" s="93"/>
      <c r="AJ1223" s="93"/>
    </row>
    <row r="1224" spans="30:36" ht="18">
      <c r="AD1224" s="93"/>
      <c r="AE1224" s="214"/>
      <c r="AF1224" s="93"/>
      <c r="AG1224" s="93"/>
      <c r="AH1224" s="93"/>
      <c r="AI1224" s="93"/>
      <c r="AJ1224" s="93"/>
    </row>
    <row r="1225" spans="30:36" ht="18">
      <c r="AD1225" s="93"/>
      <c r="AE1225" s="214"/>
      <c r="AF1225" s="93"/>
      <c r="AG1225" s="93"/>
      <c r="AH1225" s="93"/>
      <c r="AI1225" s="93"/>
      <c r="AJ1225" s="93"/>
    </row>
    <row r="1226" spans="30:36" ht="18">
      <c r="AD1226" s="93"/>
      <c r="AE1226" s="214"/>
      <c r="AF1226" s="93"/>
      <c r="AG1226" s="93"/>
      <c r="AH1226" s="93"/>
      <c r="AI1226" s="93"/>
      <c r="AJ1226" s="93"/>
    </row>
    <row r="1227" spans="30:36" ht="18">
      <c r="AD1227" s="93"/>
      <c r="AE1227" s="214"/>
      <c r="AF1227" s="93"/>
      <c r="AG1227" s="93"/>
      <c r="AH1227" s="93"/>
      <c r="AI1227" s="93"/>
      <c r="AJ1227" s="93"/>
    </row>
    <row r="1228" spans="30:36" ht="18">
      <c r="AD1228" s="93"/>
      <c r="AE1228" s="214"/>
      <c r="AF1228" s="93"/>
      <c r="AG1228" s="93"/>
      <c r="AH1228" s="93"/>
      <c r="AI1228" s="93"/>
      <c r="AJ1228" s="93"/>
    </row>
    <row r="1229" spans="30:36" ht="18">
      <c r="AD1229" s="93"/>
      <c r="AE1229" s="214"/>
      <c r="AF1229" s="93"/>
      <c r="AG1229" s="93"/>
      <c r="AH1229" s="93"/>
      <c r="AI1229" s="93"/>
      <c r="AJ1229" s="93"/>
    </row>
    <row r="1230" spans="30:36" ht="18">
      <c r="AD1230" s="93"/>
      <c r="AE1230" s="214"/>
      <c r="AF1230" s="93"/>
      <c r="AG1230" s="93"/>
      <c r="AH1230" s="93"/>
      <c r="AI1230" s="93"/>
      <c r="AJ1230" s="93"/>
    </row>
    <row r="1231" spans="30:36" ht="18">
      <c r="AD1231" s="93"/>
      <c r="AE1231" s="214"/>
      <c r="AF1231" s="93"/>
      <c r="AG1231" s="93"/>
      <c r="AH1231" s="93"/>
      <c r="AI1231" s="93"/>
      <c r="AJ1231" s="93"/>
    </row>
    <row r="1232" spans="30:36" ht="18">
      <c r="AD1232" s="93"/>
      <c r="AE1232" s="214"/>
      <c r="AF1232" s="93"/>
      <c r="AG1232" s="93"/>
      <c r="AH1232" s="93"/>
      <c r="AI1232" s="93"/>
      <c r="AJ1232" s="93"/>
    </row>
    <row r="1233" spans="30:36" ht="18">
      <c r="AD1233" s="93"/>
      <c r="AE1233" s="214"/>
      <c r="AF1233" s="93"/>
      <c r="AG1233" s="93"/>
      <c r="AH1233" s="93"/>
      <c r="AI1233" s="93"/>
      <c r="AJ1233" s="93"/>
    </row>
    <row r="1234" spans="30:36" ht="18">
      <c r="AD1234" s="93"/>
      <c r="AE1234" s="214"/>
      <c r="AF1234" s="93"/>
      <c r="AG1234" s="93"/>
      <c r="AH1234" s="93"/>
      <c r="AI1234" s="93"/>
      <c r="AJ1234" s="93"/>
    </row>
    <row r="1235" spans="30:36" ht="18">
      <c r="AD1235" s="93"/>
      <c r="AE1235" s="214"/>
      <c r="AF1235" s="93"/>
      <c r="AG1235" s="93"/>
      <c r="AH1235" s="93"/>
      <c r="AI1235" s="93"/>
      <c r="AJ1235" s="93"/>
    </row>
    <row r="1236" spans="30:36" ht="18">
      <c r="AD1236" s="93"/>
      <c r="AE1236" s="214"/>
      <c r="AF1236" s="93"/>
      <c r="AG1236" s="93"/>
      <c r="AH1236" s="93"/>
      <c r="AI1236" s="93"/>
      <c r="AJ1236" s="93"/>
    </row>
    <row r="1237" spans="30:36" ht="18">
      <c r="AD1237" s="93"/>
      <c r="AE1237" s="214"/>
      <c r="AF1237" s="93"/>
      <c r="AG1237" s="93"/>
      <c r="AH1237" s="93"/>
      <c r="AI1237" s="93"/>
      <c r="AJ1237" s="93"/>
    </row>
    <row r="1238" spans="30:36" ht="18">
      <c r="AD1238" s="93"/>
      <c r="AE1238" s="214"/>
      <c r="AF1238" s="93"/>
      <c r="AG1238" s="93"/>
      <c r="AH1238" s="93"/>
      <c r="AI1238" s="93"/>
      <c r="AJ1238" s="93"/>
    </row>
    <row r="1239" spans="30:36" ht="18">
      <c r="AD1239" s="93"/>
      <c r="AE1239" s="214"/>
      <c r="AF1239" s="93"/>
      <c r="AG1239" s="93"/>
      <c r="AH1239" s="93"/>
      <c r="AI1239" s="93"/>
      <c r="AJ1239" s="93"/>
    </row>
    <row r="1240" spans="30:36" ht="18">
      <c r="AD1240" s="93"/>
      <c r="AE1240" s="214"/>
      <c r="AF1240" s="93"/>
      <c r="AG1240" s="93"/>
      <c r="AH1240" s="93"/>
      <c r="AI1240" s="93"/>
      <c r="AJ1240" s="93"/>
    </row>
    <row r="1241" spans="30:36" ht="18">
      <c r="AD1241" s="93"/>
      <c r="AE1241" s="214"/>
      <c r="AF1241" s="93"/>
      <c r="AG1241" s="93"/>
      <c r="AH1241" s="93"/>
      <c r="AI1241" s="93"/>
      <c r="AJ1241" s="93"/>
    </row>
    <row r="1242" spans="30:36" ht="18">
      <c r="AD1242" s="93"/>
      <c r="AE1242" s="214"/>
      <c r="AF1242" s="93"/>
      <c r="AG1242" s="93"/>
      <c r="AH1242" s="93"/>
      <c r="AI1242" s="93"/>
      <c r="AJ1242" s="93"/>
    </row>
    <row r="1243" spans="30:36" ht="18">
      <c r="AD1243" s="93"/>
      <c r="AE1243" s="214"/>
      <c r="AF1243" s="93"/>
      <c r="AG1243" s="93"/>
      <c r="AH1243" s="93"/>
      <c r="AI1243" s="93"/>
      <c r="AJ1243" s="93"/>
    </row>
    <row r="1244" spans="30:36" ht="18">
      <c r="AD1244" s="93"/>
      <c r="AE1244" s="214"/>
      <c r="AF1244" s="93"/>
      <c r="AG1244" s="93"/>
      <c r="AH1244" s="93"/>
      <c r="AI1244" s="93"/>
      <c r="AJ1244" s="93"/>
    </row>
    <row r="1245" spans="30:36" ht="18">
      <c r="AD1245" s="93"/>
      <c r="AE1245" s="214"/>
      <c r="AF1245" s="93"/>
      <c r="AG1245" s="93"/>
      <c r="AH1245" s="93"/>
      <c r="AI1245" s="93"/>
      <c r="AJ1245" s="93"/>
    </row>
    <row r="1246" spans="30:36" ht="18">
      <c r="AD1246" s="93"/>
      <c r="AE1246" s="214"/>
      <c r="AF1246" s="93"/>
      <c r="AG1246" s="93"/>
      <c r="AH1246" s="93"/>
      <c r="AI1246" s="93"/>
      <c r="AJ1246" s="93"/>
    </row>
    <row r="1247" spans="30:36" ht="18">
      <c r="AD1247" s="93"/>
      <c r="AE1247" s="215"/>
      <c r="AF1247" s="93"/>
      <c r="AG1247" s="93"/>
      <c r="AH1247" s="93"/>
      <c r="AI1247" s="93"/>
      <c r="AJ1247" s="93"/>
    </row>
    <row r="1248" spans="30:36" ht="18">
      <c r="AD1248" s="93"/>
      <c r="AE1248" s="214"/>
      <c r="AF1248" s="93"/>
      <c r="AG1248" s="93"/>
      <c r="AH1248" s="93"/>
      <c r="AI1248" s="93"/>
      <c r="AJ1248" s="93"/>
    </row>
    <row r="1249" spans="30:36" ht="18">
      <c r="AD1249" s="93"/>
      <c r="AE1249" s="214"/>
      <c r="AF1249" s="93"/>
      <c r="AG1249" s="93"/>
      <c r="AH1249" s="93"/>
      <c r="AI1249" s="93"/>
      <c r="AJ1249" s="93"/>
    </row>
    <row r="1250" spans="30:36" ht="18">
      <c r="AD1250" s="93"/>
      <c r="AE1250" s="215"/>
      <c r="AF1250" s="93"/>
      <c r="AG1250" s="93"/>
      <c r="AH1250" s="93"/>
      <c r="AI1250" s="93"/>
      <c r="AJ1250" s="93"/>
    </row>
    <row r="1251" spans="30:36" ht="18">
      <c r="AD1251" s="93"/>
      <c r="AE1251" s="214"/>
      <c r="AF1251" s="93"/>
      <c r="AG1251" s="93"/>
      <c r="AH1251" s="93"/>
      <c r="AI1251" s="93"/>
      <c r="AJ1251" s="93"/>
    </row>
    <row r="1252" spans="30:36" ht="18">
      <c r="AD1252" s="93"/>
      <c r="AE1252" s="214"/>
      <c r="AF1252" s="93"/>
      <c r="AG1252" s="93"/>
      <c r="AH1252" s="93"/>
      <c r="AI1252" s="93"/>
      <c r="AJ1252" s="93"/>
    </row>
    <row r="1253" spans="30:36" ht="18">
      <c r="AD1253" s="93"/>
      <c r="AE1253" s="214"/>
      <c r="AF1253" s="93"/>
      <c r="AG1253" s="93"/>
      <c r="AH1253" s="93"/>
      <c r="AI1253" s="93"/>
      <c r="AJ1253" s="93"/>
    </row>
    <row r="1254" spans="30:36" ht="18">
      <c r="AD1254" s="93"/>
      <c r="AE1254" s="215"/>
      <c r="AF1254" s="93"/>
      <c r="AG1254" s="93"/>
      <c r="AH1254" s="93"/>
      <c r="AI1254" s="93"/>
      <c r="AJ1254" s="93"/>
    </row>
    <row r="1255" spans="30:36" ht="18">
      <c r="AD1255" s="93"/>
      <c r="AE1255" s="215"/>
      <c r="AF1255" s="93"/>
      <c r="AG1255" s="93"/>
      <c r="AH1255" s="93"/>
      <c r="AI1255" s="93"/>
      <c r="AJ1255" s="93"/>
    </row>
    <row r="1256" spans="30:36" ht="18">
      <c r="AD1256" s="93"/>
      <c r="AE1256" s="214"/>
      <c r="AF1256" s="93"/>
      <c r="AG1256" s="93"/>
      <c r="AH1256" s="93"/>
      <c r="AI1256" s="93"/>
      <c r="AJ1256" s="93"/>
    </row>
    <row r="1257" spans="30:36" ht="18">
      <c r="AD1257" s="93"/>
      <c r="AE1257" s="214"/>
      <c r="AF1257" s="93"/>
      <c r="AG1257" s="93"/>
      <c r="AH1257" s="93"/>
      <c r="AI1257" s="93"/>
      <c r="AJ1257" s="93"/>
    </row>
    <row r="1258" spans="30:36" ht="18">
      <c r="AD1258" s="93"/>
      <c r="AE1258" s="214"/>
      <c r="AF1258" s="93"/>
      <c r="AG1258" s="93"/>
      <c r="AH1258" s="93"/>
      <c r="AI1258" s="93"/>
      <c r="AJ1258" s="93"/>
    </row>
    <row r="1259" spans="30:36" ht="18">
      <c r="AD1259" s="93"/>
      <c r="AE1259" s="215"/>
      <c r="AF1259" s="93"/>
      <c r="AG1259" s="93"/>
      <c r="AH1259" s="93"/>
      <c r="AI1259" s="93"/>
      <c r="AJ1259" s="93"/>
    </row>
    <row r="1260" spans="30:36" ht="18">
      <c r="AD1260" s="93"/>
      <c r="AE1260" s="214"/>
      <c r="AF1260" s="93"/>
      <c r="AG1260" s="93"/>
      <c r="AH1260" s="93"/>
      <c r="AI1260" s="93"/>
      <c r="AJ1260" s="93"/>
    </row>
    <row r="1261" spans="30:36" ht="18">
      <c r="AD1261" s="93"/>
      <c r="AE1261" s="214"/>
      <c r="AF1261" s="93"/>
      <c r="AG1261" s="93"/>
      <c r="AH1261" s="93"/>
      <c r="AI1261" s="93"/>
      <c r="AJ1261" s="93"/>
    </row>
    <row r="1262" spans="30:36" ht="18">
      <c r="AD1262" s="93"/>
      <c r="AE1262" s="214"/>
      <c r="AF1262" s="93"/>
      <c r="AG1262" s="93"/>
      <c r="AH1262" s="93"/>
      <c r="AI1262" s="93"/>
      <c r="AJ1262" s="93"/>
    </row>
    <row r="1263" spans="30:36" ht="18">
      <c r="AD1263" s="93"/>
      <c r="AE1263" s="214"/>
      <c r="AF1263" s="93"/>
      <c r="AG1263" s="93"/>
      <c r="AH1263" s="93"/>
      <c r="AI1263" s="93"/>
      <c r="AJ1263" s="93"/>
    </row>
    <row r="1264" spans="30:36" ht="18">
      <c r="AD1264" s="93"/>
      <c r="AE1264" s="214"/>
      <c r="AF1264" s="93"/>
      <c r="AG1264" s="93"/>
      <c r="AH1264" s="93"/>
      <c r="AI1264" s="93"/>
      <c r="AJ1264" s="93"/>
    </row>
    <row r="1265" spans="30:36" ht="18">
      <c r="AD1265" s="93"/>
      <c r="AE1265" s="214"/>
      <c r="AF1265" s="93"/>
      <c r="AG1265" s="93"/>
      <c r="AH1265" s="93"/>
      <c r="AI1265" s="93"/>
      <c r="AJ1265" s="93"/>
    </row>
    <row r="1266" spans="30:36" ht="18">
      <c r="AD1266" s="93"/>
      <c r="AE1266" s="214"/>
      <c r="AF1266" s="93"/>
      <c r="AG1266" s="93"/>
      <c r="AH1266" s="93"/>
      <c r="AI1266" s="93"/>
      <c r="AJ1266" s="93"/>
    </row>
    <row r="1267" spans="30:36" ht="18">
      <c r="AD1267" s="93"/>
      <c r="AE1267" s="214"/>
      <c r="AF1267" s="93"/>
      <c r="AG1267" s="93"/>
      <c r="AH1267" s="93"/>
      <c r="AI1267" s="93"/>
      <c r="AJ1267" s="93"/>
    </row>
    <row r="1268" spans="30:36" ht="18">
      <c r="AD1268" s="93"/>
      <c r="AE1268" s="214"/>
      <c r="AF1268" s="93"/>
      <c r="AG1268" s="93"/>
      <c r="AH1268" s="93"/>
      <c r="AI1268" s="93"/>
      <c r="AJ1268" s="93"/>
    </row>
    <row r="1269" spans="30:36" ht="18">
      <c r="AD1269" s="93"/>
      <c r="AE1269" s="214"/>
      <c r="AF1269" s="93"/>
      <c r="AG1269" s="93"/>
      <c r="AH1269" s="93"/>
      <c r="AI1269" s="93"/>
      <c r="AJ1269" s="93"/>
    </row>
    <row r="1270" spans="30:36" ht="18">
      <c r="AD1270" s="93"/>
      <c r="AE1270" s="214"/>
      <c r="AF1270" s="93"/>
      <c r="AG1270" s="93"/>
      <c r="AH1270" s="93"/>
      <c r="AI1270" s="93"/>
      <c r="AJ1270" s="93"/>
    </row>
    <row r="1271" spans="30:36" ht="18">
      <c r="AD1271" s="93"/>
      <c r="AE1271" s="214"/>
      <c r="AF1271" s="93"/>
      <c r="AG1271" s="93"/>
      <c r="AH1271" s="93"/>
      <c r="AI1271" s="93"/>
      <c r="AJ1271" s="93"/>
    </row>
    <row r="1272" spans="30:36" ht="18">
      <c r="AD1272" s="93"/>
      <c r="AE1272" s="215"/>
      <c r="AF1272" s="93"/>
      <c r="AG1272" s="93"/>
      <c r="AH1272" s="93"/>
      <c r="AI1272" s="93"/>
      <c r="AJ1272" s="93"/>
    </row>
    <row r="1273" spans="30:36" ht="18">
      <c r="AD1273" s="93"/>
      <c r="AE1273" s="214"/>
      <c r="AF1273" s="93"/>
      <c r="AG1273" s="93"/>
      <c r="AH1273" s="93"/>
      <c r="AI1273" s="93"/>
      <c r="AJ1273" s="93"/>
    </row>
    <row r="1274" spans="30:36" ht="18">
      <c r="AD1274" s="93"/>
      <c r="AE1274" s="214"/>
      <c r="AF1274" s="93"/>
      <c r="AG1274" s="93"/>
      <c r="AH1274" s="93"/>
      <c r="AI1274" s="93"/>
      <c r="AJ1274" s="93"/>
    </row>
    <row r="1275" spans="30:36" ht="18">
      <c r="AD1275" s="93"/>
      <c r="AE1275" s="214"/>
      <c r="AF1275" s="93"/>
      <c r="AG1275" s="93"/>
      <c r="AH1275" s="93"/>
      <c r="AI1275" s="93"/>
      <c r="AJ1275" s="93"/>
    </row>
    <row r="1276" spans="30:36" ht="18">
      <c r="AD1276" s="93"/>
      <c r="AE1276" s="214"/>
      <c r="AF1276" s="93"/>
      <c r="AG1276" s="93"/>
      <c r="AH1276" s="93"/>
      <c r="AI1276" s="93"/>
      <c r="AJ1276" s="93"/>
    </row>
    <row r="1277" spans="30:36" ht="18">
      <c r="AD1277" s="93"/>
      <c r="AE1277" s="214"/>
      <c r="AF1277" s="93"/>
      <c r="AG1277" s="93"/>
      <c r="AH1277" s="93"/>
      <c r="AI1277" s="93"/>
      <c r="AJ1277" s="93"/>
    </row>
    <row r="1278" spans="30:36" ht="18">
      <c r="AD1278" s="93"/>
      <c r="AE1278" s="214"/>
      <c r="AF1278" s="93"/>
      <c r="AG1278" s="93"/>
      <c r="AH1278" s="93"/>
      <c r="AI1278" s="93"/>
      <c r="AJ1278" s="93"/>
    </row>
    <row r="1279" spans="30:36" ht="18">
      <c r="AD1279" s="93"/>
      <c r="AE1279" s="214"/>
      <c r="AF1279" s="93"/>
      <c r="AG1279" s="93"/>
      <c r="AH1279" s="93"/>
      <c r="AI1279" s="93"/>
      <c r="AJ1279" s="93"/>
    </row>
    <row r="1280" spans="30:36" ht="18">
      <c r="AD1280" s="93"/>
      <c r="AE1280" s="214"/>
      <c r="AF1280" s="93"/>
      <c r="AG1280" s="93"/>
      <c r="AH1280" s="93"/>
      <c r="AI1280" s="93"/>
      <c r="AJ1280" s="93"/>
    </row>
    <row r="1281" spans="30:36" ht="18">
      <c r="AD1281" s="93"/>
      <c r="AE1281" s="214"/>
      <c r="AF1281" s="93"/>
      <c r="AG1281" s="93"/>
      <c r="AH1281" s="93"/>
      <c r="AI1281" s="93"/>
      <c r="AJ1281" s="93"/>
    </row>
    <row r="1282" spans="30:36" ht="18">
      <c r="AD1282" s="93"/>
      <c r="AE1282" s="214"/>
      <c r="AF1282" s="93"/>
      <c r="AG1282" s="93"/>
      <c r="AH1282" s="93"/>
      <c r="AI1282" s="93"/>
      <c r="AJ1282" s="93"/>
    </row>
    <row r="1283" spans="30:36" ht="18">
      <c r="AD1283" s="93"/>
      <c r="AE1283" s="214"/>
      <c r="AF1283" s="93"/>
      <c r="AG1283" s="93"/>
      <c r="AH1283" s="93"/>
      <c r="AI1283" s="93"/>
      <c r="AJ1283" s="93"/>
    </row>
    <row r="1284" spans="30:36" ht="18">
      <c r="AD1284" s="93"/>
      <c r="AE1284" s="214"/>
      <c r="AF1284" s="93"/>
      <c r="AG1284" s="93"/>
      <c r="AH1284" s="93"/>
      <c r="AI1284" s="93"/>
      <c r="AJ1284" s="93"/>
    </row>
    <row r="1285" spans="30:36" ht="18">
      <c r="AD1285" s="93"/>
      <c r="AE1285" s="214"/>
      <c r="AF1285" s="93"/>
      <c r="AG1285" s="93"/>
      <c r="AH1285" s="93"/>
      <c r="AI1285" s="93"/>
      <c r="AJ1285" s="93"/>
    </row>
    <row r="1286" spans="30:36" ht="18">
      <c r="AD1286" s="93"/>
      <c r="AE1286" s="214"/>
      <c r="AF1286" s="93"/>
      <c r="AG1286" s="93"/>
      <c r="AH1286" s="93"/>
      <c r="AI1286" s="93"/>
      <c r="AJ1286" s="93"/>
    </row>
    <row r="1287" spans="30:36" ht="18">
      <c r="AD1287" s="93"/>
      <c r="AE1287" s="214"/>
      <c r="AF1287" s="93"/>
      <c r="AG1287" s="93"/>
      <c r="AH1287" s="93"/>
      <c r="AI1287" s="93"/>
      <c r="AJ1287" s="93"/>
    </row>
    <row r="1288" spans="30:36" ht="18">
      <c r="AD1288" s="93"/>
      <c r="AE1288" s="214"/>
      <c r="AF1288" s="93"/>
      <c r="AG1288" s="93"/>
      <c r="AH1288" s="93"/>
      <c r="AI1288" s="93"/>
      <c r="AJ1288" s="93"/>
    </row>
    <row r="1289" spans="30:36" ht="18">
      <c r="AD1289" s="93"/>
      <c r="AE1289" s="214"/>
      <c r="AF1289" s="93"/>
      <c r="AG1289" s="93"/>
      <c r="AH1289" s="93"/>
      <c r="AI1289" s="93"/>
      <c r="AJ1289" s="93"/>
    </row>
    <row r="1290" spans="30:36" ht="18">
      <c r="AD1290" s="93"/>
      <c r="AE1290" s="214"/>
      <c r="AF1290" s="93"/>
      <c r="AG1290" s="93"/>
      <c r="AH1290" s="93"/>
      <c r="AI1290" s="93"/>
      <c r="AJ1290" s="93"/>
    </row>
    <row r="1291" spans="30:36" ht="18">
      <c r="AD1291" s="93"/>
      <c r="AE1291" s="214"/>
      <c r="AF1291" s="93"/>
      <c r="AG1291" s="93"/>
      <c r="AH1291" s="93"/>
      <c r="AI1291" s="93"/>
      <c r="AJ1291" s="93"/>
    </row>
    <row r="1292" spans="30:36" ht="18">
      <c r="AD1292" s="93"/>
      <c r="AE1292" s="214"/>
      <c r="AF1292" s="93"/>
      <c r="AG1292" s="93"/>
      <c r="AH1292" s="93"/>
      <c r="AI1292" s="93"/>
      <c r="AJ1292" s="93"/>
    </row>
    <row r="1293" spans="30:36" ht="18">
      <c r="AD1293" s="93"/>
      <c r="AE1293" s="214"/>
      <c r="AF1293" s="93"/>
      <c r="AG1293" s="93"/>
      <c r="AH1293" s="93"/>
      <c r="AI1293" s="93"/>
      <c r="AJ1293" s="93"/>
    </row>
    <row r="1294" spans="30:36" ht="18">
      <c r="AD1294" s="93"/>
      <c r="AE1294" s="214"/>
      <c r="AF1294" s="93"/>
      <c r="AG1294" s="93"/>
      <c r="AH1294" s="93"/>
      <c r="AI1294" s="93"/>
      <c r="AJ1294" s="93"/>
    </row>
    <row r="1295" spans="30:36" ht="18">
      <c r="AD1295" s="93"/>
      <c r="AE1295" s="214"/>
      <c r="AF1295" s="93"/>
      <c r="AG1295" s="93"/>
      <c r="AH1295" s="93"/>
      <c r="AI1295" s="93"/>
      <c r="AJ1295" s="93"/>
    </row>
    <row r="1296" spans="30:36" ht="18">
      <c r="AD1296" s="93"/>
      <c r="AE1296" s="214"/>
      <c r="AF1296" s="93"/>
      <c r="AG1296" s="93"/>
      <c r="AH1296" s="93"/>
      <c r="AI1296" s="93"/>
      <c r="AJ1296" s="93"/>
    </row>
    <row r="1297" spans="30:36" ht="18">
      <c r="AD1297" s="93"/>
      <c r="AE1297" s="214"/>
      <c r="AF1297" s="93"/>
      <c r="AG1297" s="93"/>
      <c r="AH1297" s="93"/>
      <c r="AI1297" s="93"/>
      <c r="AJ1297" s="93"/>
    </row>
    <row r="1298" spans="30:36" ht="18">
      <c r="AD1298" s="93"/>
      <c r="AE1298" s="214"/>
      <c r="AF1298" s="93"/>
      <c r="AG1298" s="93"/>
      <c r="AH1298" s="93"/>
      <c r="AI1298" s="93"/>
      <c r="AJ1298" s="93"/>
    </row>
    <row r="1299" spans="30:36" ht="18">
      <c r="AD1299" s="93"/>
      <c r="AE1299" s="214"/>
      <c r="AF1299" s="93"/>
      <c r="AG1299" s="93"/>
      <c r="AH1299" s="93"/>
      <c r="AI1299" s="93"/>
      <c r="AJ1299" s="93"/>
    </row>
    <row r="1300" spans="30:36" ht="18">
      <c r="AD1300" s="93"/>
      <c r="AE1300" s="214"/>
      <c r="AF1300" s="93"/>
      <c r="AG1300" s="93"/>
      <c r="AH1300" s="93"/>
      <c r="AI1300" s="93"/>
      <c r="AJ1300" s="93"/>
    </row>
    <row r="1301" spans="30:36" ht="18">
      <c r="AD1301" s="93"/>
      <c r="AE1301" s="214"/>
      <c r="AF1301" s="93"/>
      <c r="AG1301" s="93"/>
      <c r="AH1301" s="93"/>
      <c r="AI1301" s="93"/>
      <c r="AJ1301" s="93"/>
    </row>
    <row r="1302" spans="30:36" ht="18">
      <c r="AD1302" s="93"/>
      <c r="AE1302" s="214"/>
      <c r="AF1302" s="93"/>
      <c r="AG1302" s="93"/>
      <c r="AH1302" s="93"/>
      <c r="AI1302" s="93"/>
      <c r="AJ1302" s="93"/>
    </row>
    <row r="1303" spans="30:36" ht="18">
      <c r="AD1303" s="93"/>
      <c r="AE1303" s="214"/>
      <c r="AF1303" s="93"/>
      <c r="AG1303" s="93"/>
      <c r="AH1303" s="93"/>
      <c r="AI1303" s="93"/>
      <c r="AJ1303" s="93"/>
    </row>
    <row r="1304" spans="30:36" ht="18">
      <c r="AD1304" s="93"/>
      <c r="AE1304" s="214"/>
      <c r="AF1304" s="93"/>
      <c r="AG1304" s="93"/>
      <c r="AH1304" s="93"/>
      <c r="AI1304" s="93"/>
      <c r="AJ1304" s="93"/>
    </row>
    <row r="1305" spans="30:36" ht="18">
      <c r="AD1305" s="93"/>
      <c r="AE1305" s="214"/>
      <c r="AF1305" s="93"/>
      <c r="AG1305" s="93"/>
      <c r="AH1305" s="93"/>
      <c r="AI1305" s="93"/>
      <c r="AJ1305" s="93"/>
    </row>
    <row r="1306" spans="30:36" ht="18">
      <c r="AD1306" s="93"/>
      <c r="AE1306" s="215"/>
      <c r="AF1306" s="93"/>
      <c r="AG1306" s="93"/>
      <c r="AH1306" s="93"/>
      <c r="AI1306" s="93"/>
      <c r="AJ1306" s="93"/>
    </row>
    <row r="1307" spans="30:36" ht="18">
      <c r="AD1307" s="93"/>
      <c r="AE1307" s="214"/>
      <c r="AF1307" s="93"/>
      <c r="AG1307" s="93"/>
      <c r="AH1307" s="93"/>
      <c r="AI1307" s="93"/>
      <c r="AJ1307" s="93"/>
    </row>
    <row r="1308" spans="30:36" ht="18">
      <c r="AD1308" s="93"/>
      <c r="AE1308" s="214"/>
      <c r="AF1308" s="93"/>
      <c r="AG1308" s="93"/>
      <c r="AH1308" s="93"/>
      <c r="AI1308" s="93"/>
      <c r="AJ1308" s="93"/>
    </row>
    <row r="1309" spans="30:36" ht="18">
      <c r="AD1309" s="93"/>
      <c r="AE1309" s="214"/>
      <c r="AF1309" s="93"/>
      <c r="AG1309" s="93"/>
      <c r="AH1309" s="93"/>
      <c r="AI1309" s="93"/>
      <c r="AJ1309" s="93"/>
    </row>
    <row r="1310" spans="30:36" ht="18">
      <c r="AD1310" s="93"/>
      <c r="AE1310" s="214"/>
      <c r="AF1310" s="93"/>
      <c r="AG1310" s="93"/>
      <c r="AH1310" s="93"/>
      <c r="AI1310" s="93"/>
      <c r="AJ1310" s="93"/>
    </row>
    <row r="1311" spans="30:36" ht="18">
      <c r="AD1311" s="93"/>
      <c r="AE1311" s="214"/>
      <c r="AF1311" s="93"/>
      <c r="AG1311" s="93"/>
      <c r="AH1311" s="93"/>
      <c r="AI1311" s="93"/>
      <c r="AJ1311" s="93"/>
    </row>
    <row r="1312" spans="30:36" ht="18">
      <c r="AD1312" s="93"/>
      <c r="AE1312" s="214"/>
      <c r="AF1312" s="93"/>
      <c r="AG1312" s="93"/>
      <c r="AH1312" s="93"/>
      <c r="AI1312" s="93"/>
      <c r="AJ1312" s="93"/>
    </row>
    <row r="1313" spans="30:36" ht="18">
      <c r="AD1313" s="93"/>
      <c r="AE1313" s="214"/>
      <c r="AF1313" s="93"/>
      <c r="AG1313" s="93"/>
      <c r="AH1313" s="93"/>
      <c r="AI1313" s="93"/>
      <c r="AJ1313" s="93"/>
    </row>
    <row r="1314" spans="30:36" ht="18">
      <c r="AD1314" s="93"/>
      <c r="AE1314" s="214"/>
      <c r="AF1314" s="93"/>
      <c r="AG1314" s="93"/>
      <c r="AH1314" s="93"/>
      <c r="AI1314" s="93"/>
      <c r="AJ1314" s="93"/>
    </row>
    <row r="1315" spans="30:36" ht="18">
      <c r="AD1315" s="93"/>
      <c r="AE1315" s="214"/>
      <c r="AF1315" s="93"/>
      <c r="AG1315" s="93"/>
      <c r="AH1315" s="93"/>
      <c r="AI1315" s="93"/>
      <c r="AJ1315" s="93"/>
    </row>
    <row r="1316" spans="30:36" ht="18">
      <c r="AD1316" s="93"/>
      <c r="AE1316" s="214"/>
      <c r="AF1316" s="93"/>
      <c r="AG1316" s="93"/>
      <c r="AH1316" s="93"/>
      <c r="AI1316" s="93"/>
      <c r="AJ1316" s="93"/>
    </row>
    <row r="1317" spans="30:36" ht="18">
      <c r="AD1317" s="93"/>
      <c r="AE1317" s="215"/>
      <c r="AF1317" s="93"/>
      <c r="AG1317" s="93"/>
      <c r="AH1317" s="93"/>
      <c r="AI1317" s="93"/>
      <c r="AJ1317" s="93"/>
    </row>
    <row r="1318" spans="30:36" ht="18">
      <c r="AD1318" s="93"/>
      <c r="AE1318" s="214"/>
      <c r="AF1318" s="93"/>
      <c r="AG1318" s="93"/>
      <c r="AH1318" s="93"/>
      <c r="AI1318" s="93"/>
      <c r="AJ1318" s="93"/>
    </row>
    <row r="1319" spans="30:36" ht="18">
      <c r="AD1319" s="93"/>
      <c r="AE1319" s="214"/>
      <c r="AF1319" s="93"/>
      <c r="AG1319" s="93"/>
      <c r="AH1319" s="93"/>
      <c r="AI1319" s="93"/>
      <c r="AJ1319" s="93"/>
    </row>
    <row r="1320" spans="30:36" ht="18">
      <c r="AD1320" s="93"/>
      <c r="AE1320" s="214"/>
      <c r="AF1320" s="93"/>
      <c r="AG1320" s="93"/>
      <c r="AH1320" s="93"/>
      <c r="AI1320" s="93"/>
      <c r="AJ1320" s="93"/>
    </row>
    <row r="1321" spans="30:36" ht="18">
      <c r="AD1321" s="93"/>
      <c r="AE1321" s="214"/>
      <c r="AF1321" s="93"/>
      <c r="AG1321" s="93"/>
      <c r="AH1321" s="93"/>
      <c r="AI1321" s="93"/>
      <c r="AJ1321" s="93"/>
    </row>
    <row r="1322" spans="30:36" ht="18">
      <c r="AD1322" s="93"/>
      <c r="AE1322" s="214"/>
      <c r="AF1322" s="93"/>
      <c r="AG1322" s="93"/>
      <c r="AH1322" s="93"/>
      <c r="AI1322" s="93"/>
      <c r="AJ1322" s="93"/>
    </row>
    <row r="1323" spans="30:36" ht="18">
      <c r="AD1323" s="93"/>
      <c r="AE1323" s="215"/>
      <c r="AF1323" s="93"/>
      <c r="AG1323" s="93"/>
      <c r="AH1323" s="93"/>
      <c r="AI1323" s="93"/>
      <c r="AJ1323" s="93"/>
    </row>
    <row r="1324" spans="30:36" ht="18">
      <c r="AD1324" s="93"/>
      <c r="AE1324" s="214"/>
      <c r="AF1324" s="93"/>
      <c r="AG1324" s="93"/>
      <c r="AH1324" s="93"/>
      <c r="AI1324" s="93"/>
      <c r="AJ1324" s="93"/>
    </row>
    <row r="1325" spans="30:36" ht="18">
      <c r="AD1325" s="93"/>
      <c r="AE1325" s="214"/>
      <c r="AF1325" s="93"/>
      <c r="AG1325" s="93"/>
      <c r="AH1325" s="93"/>
      <c r="AI1325" s="93"/>
      <c r="AJ1325" s="93"/>
    </row>
    <row r="1326" spans="30:36" ht="18">
      <c r="AD1326" s="93"/>
      <c r="AE1326" s="214"/>
      <c r="AF1326" s="93"/>
      <c r="AG1326" s="93"/>
      <c r="AH1326" s="93"/>
      <c r="AI1326" s="93"/>
      <c r="AJ1326" s="93"/>
    </row>
    <row r="1327" spans="30:36" ht="18">
      <c r="AD1327" s="93"/>
      <c r="AE1327" s="214"/>
      <c r="AF1327" s="93"/>
      <c r="AG1327" s="93"/>
      <c r="AH1327" s="93"/>
      <c r="AI1327" s="93"/>
      <c r="AJ1327" s="93"/>
    </row>
    <row r="1328" spans="30:36" ht="18">
      <c r="AD1328" s="93"/>
      <c r="AE1328" s="214"/>
      <c r="AF1328" s="93"/>
      <c r="AG1328" s="93"/>
      <c r="AH1328" s="93"/>
      <c r="AI1328" s="93"/>
      <c r="AJ1328" s="93"/>
    </row>
    <row r="1329" spans="30:36" ht="18">
      <c r="AD1329" s="93"/>
      <c r="AE1329" s="214"/>
      <c r="AF1329" s="93"/>
      <c r="AG1329" s="93"/>
      <c r="AH1329" s="93"/>
      <c r="AI1329" s="93"/>
      <c r="AJ1329" s="93"/>
    </row>
    <row r="1330" spans="30:36" ht="18">
      <c r="AD1330" s="93"/>
      <c r="AE1330" s="214"/>
      <c r="AF1330" s="93"/>
      <c r="AG1330" s="93"/>
      <c r="AH1330" s="93"/>
      <c r="AI1330" s="93"/>
      <c r="AJ1330" s="93"/>
    </row>
    <row r="1331" spans="30:36" ht="18">
      <c r="AD1331" s="93"/>
      <c r="AE1331" s="214"/>
      <c r="AF1331" s="93"/>
      <c r="AG1331" s="93"/>
      <c r="AH1331" s="93"/>
      <c r="AI1331" s="93"/>
      <c r="AJ1331" s="93"/>
    </row>
    <row r="1332" spans="30:36" ht="18">
      <c r="AD1332" s="93"/>
      <c r="AE1332" s="214"/>
      <c r="AF1332" s="93"/>
      <c r="AG1332" s="93"/>
      <c r="AH1332" s="93"/>
      <c r="AI1332" s="93"/>
      <c r="AJ1332" s="93"/>
    </row>
    <row r="1333" spans="30:36" ht="18">
      <c r="AD1333" s="93"/>
      <c r="AE1333" s="214"/>
      <c r="AF1333" s="93"/>
      <c r="AG1333" s="93"/>
      <c r="AH1333" s="93"/>
      <c r="AI1333" s="93"/>
      <c r="AJ1333" s="93"/>
    </row>
    <row r="1334" spans="30:36" ht="18">
      <c r="AD1334" s="93"/>
      <c r="AE1334" s="214"/>
      <c r="AF1334" s="93"/>
      <c r="AG1334" s="93"/>
      <c r="AH1334" s="93"/>
      <c r="AI1334" s="93"/>
      <c r="AJ1334" s="93"/>
    </row>
    <row r="1335" spans="30:36" ht="18">
      <c r="AD1335" s="93"/>
      <c r="AE1335" s="214"/>
      <c r="AF1335" s="93"/>
      <c r="AG1335" s="93"/>
      <c r="AH1335" s="93"/>
      <c r="AI1335" s="93"/>
      <c r="AJ1335" s="93"/>
    </row>
    <row r="1336" spans="30:36" ht="18">
      <c r="AD1336" s="93"/>
      <c r="AE1336" s="214"/>
      <c r="AF1336" s="93"/>
      <c r="AG1336" s="93"/>
      <c r="AH1336" s="93"/>
      <c r="AI1336" s="93"/>
      <c r="AJ1336" s="93"/>
    </row>
    <row r="1337" spans="30:36" ht="18">
      <c r="AD1337" s="93"/>
      <c r="AE1337" s="214"/>
      <c r="AF1337" s="93"/>
      <c r="AG1337" s="93"/>
      <c r="AH1337" s="93"/>
      <c r="AI1337" s="93"/>
      <c r="AJ1337" s="93"/>
    </row>
    <row r="1338" spans="30:36" ht="18">
      <c r="AD1338" s="93"/>
      <c r="AE1338" s="214"/>
      <c r="AF1338" s="93"/>
      <c r="AG1338" s="93"/>
      <c r="AH1338" s="93"/>
      <c r="AI1338" s="93"/>
      <c r="AJ1338" s="93"/>
    </row>
    <row r="1339" spans="30:36" ht="18">
      <c r="AD1339" s="93"/>
      <c r="AE1339" s="214"/>
      <c r="AF1339" s="93"/>
      <c r="AG1339" s="93"/>
      <c r="AH1339" s="93"/>
      <c r="AI1339" s="93"/>
      <c r="AJ1339" s="93"/>
    </row>
    <row r="1340" spans="30:36" ht="18">
      <c r="AD1340" s="93"/>
      <c r="AE1340" s="214"/>
      <c r="AF1340" s="93"/>
      <c r="AG1340" s="93"/>
      <c r="AH1340" s="93"/>
      <c r="AI1340" s="93"/>
      <c r="AJ1340" s="93"/>
    </row>
    <row r="1341" spans="30:36" ht="18">
      <c r="AD1341" s="93"/>
      <c r="AE1341" s="214"/>
      <c r="AF1341" s="93"/>
      <c r="AG1341" s="93"/>
      <c r="AH1341" s="93"/>
      <c r="AI1341" s="93"/>
      <c r="AJ1341" s="93"/>
    </row>
    <row r="1342" spans="30:36" ht="18">
      <c r="AD1342" s="93"/>
      <c r="AE1342" s="214"/>
      <c r="AF1342" s="93"/>
      <c r="AG1342" s="93"/>
      <c r="AH1342" s="93"/>
      <c r="AI1342" s="93"/>
      <c r="AJ1342" s="93"/>
    </row>
    <row r="1343" spans="30:36" ht="18">
      <c r="AD1343" s="93"/>
      <c r="AE1343" s="214"/>
      <c r="AF1343" s="93"/>
      <c r="AG1343" s="93"/>
      <c r="AH1343" s="93"/>
      <c r="AI1343" s="93"/>
      <c r="AJ1343" s="93"/>
    </row>
    <row r="1344" spans="30:36" ht="18">
      <c r="AD1344" s="93"/>
      <c r="AE1344" s="214"/>
      <c r="AF1344" s="93"/>
      <c r="AG1344" s="93"/>
      <c r="AH1344" s="93"/>
      <c r="AI1344" s="93"/>
      <c r="AJ1344" s="93"/>
    </row>
    <row r="1345" spans="30:36" ht="18">
      <c r="AD1345" s="93"/>
      <c r="AE1345" s="214"/>
      <c r="AF1345" s="93"/>
      <c r="AG1345" s="93"/>
      <c r="AH1345" s="93"/>
      <c r="AI1345" s="93"/>
      <c r="AJ1345" s="93"/>
    </row>
    <row r="1346" spans="30:36" ht="18">
      <c r="AD1346" s="93"/>
      <c r="AE1346" s="214"/>
      <c r="AF1346" s="93"/>
      <c r="AG1346" s="93"/>
      <c r="AH1346" s="93"/>
      <c r="AI1346" s="93"/>
      <c r="AJ1346" s="93"/>
    </row>
    <row r="1347" spans="30:36" ht="18">
      <c r="AD1347" s="93"/>
      <c r="AE1347" s="214"/>
      <c r="AF1347" s="93"/>
      <c r="AG1347" s="93"/>
      <c r="AH1347" s="93"/>
      <c r="AI1347" s="93"/>
      <c r="AJ1347" s="93"/>
    </row>
    <row r="1348" spans="30:36" ht="18">
      <c r="AD1348" s="93"/>
      <c r="AE1348" s="214"/>
      <c r="AF1348" s="93"/>
      <c r="AG1348" s="93"/>
      <c r="AH1348" s="93"/>
      <c r="AI1348" s="93"/>
      <c r="AJ1348" s="93"/>
    </row>
    <row r="1349" spans="30:36" ht="18">
      <c r="AD1349" s="93"/>
      <c r="AE1349" s="214"/>
      <c r="AF1349" s="93"/>
      <c r="AG1349" s="93"/>
      <c r="AH1349" s="93"/>
      <c r="AI1349" s="93"/>
      <c r="AJ1349" s="93"/>
    </row>
    <row r="1350" spans="30:36" ht="18">
      <c r="AD1350" s="93"/>
      <c r="AE1350" s="214"/>
      <c r="AF1350" s="93"/>
      <c r="AG1350" s="93"/>
      <c r="AH1350" s="93"/>
      <c r="AI1350" s="93"/>
      <c r="AJ1350" s="93"/>
    </row>
    <row r="1351" spans="30:36" ht="18">
      <c r="AD1351" s="93"/>
      <c r="AE1351" s="214"/>
      <c r="AF1351" s="93"/>
      <c r="AG1351" s="93"/>
      <c r="AH1351" s="93"/>
      <c r="AI1351" s="93"/>
      <c r="AJ1351" s="93"/>
    </row>
    <row r="1352" spans="30:36" ht="18">
      <c r="AD1352" s="93"/>
      <c r="AE1352" s="214"/>
      <c r="AF1352" s="93"/>
      <c r="AG1352" s="93"/>
      <c r="AH1352" s="93"/>
      <c r="AI1352" s="93"/>
      <c r="AJ1352" s="93"/>
    </row>
    <row r="1353" spans="30:36" ht="18">
      <c r="AD1353" s="93"/>
      <c r="AE1353" s="214"/>
      <c r="AF1353" s="93"/>
      <c r="AG1353" s="93"/>
      <c r="AH1353" s="93"/>
      <c r="AI1353" s="93"/>
      <c r="AJ1353" s="93"/>
    </row>
    <row r="1354" spans="30:36" ht="18">
      <c r="AD1354" s="93"/>
      <c r="AE1354" s="214"/>
      <c r="AF1354" s="93"/>
      <c r="AG1354" s="93"/>
      <c r="AH1354" s="93"/>
      <c r="AI1354" s="93"/>
      <c r="AJ1354" s="93"/>
    </row>
    <row r="1355" spans="30:36" ht="18">
      <c r="AD1355" s="93"/>
      <c r="AE1355" s="215"/>
      <c r="AF1355" s="93"/>
      <c r="AG1355" s="93"/>
      <c r="AH1355" s="93"/>
      <c r="AI1355" s="93"/>
      <c r="AJ1355" s="93"/>
    </row>
    <row r="1356" spans="30:36" ht="18">
      <c r="AD1356" s="93"/>
      <c r="AE1356" s="215"/>
      <c r="AF1356" s="93"/>
      <c r="AG1356" s="93"/>
      <c r="AH1356" s="93"/>
      <c r="AI1356" s="93"/>
      <c r="AJ1356" s="93"/>
    </row>
    <row r="1357" spans="30:36" ht="18">
      <c r="AD1357" s="93"/>
      <c r="AE1357" s="214"/>
      <c r="AF1357" s="93"/>
      <c r="AG1357" s="93"/>
      <c r="AH1357" s="93"/>
      <c r="AI1357" s="93"/>
      <c r="AJ1357" s="93"/>
    </row>
    <row r="1358" spans="30:36" ht="18">
      <c r="AD1358" s="93"/>
      <c r="AE1358" s="214"/>
      <c r="AF1358" s="93"/>
      <c r="AG1358" s="93"/>
      <c r="AH1358" s="93"/>
      <c r="AI1358" s="93"/>
      <c r="AJ1358" s="93"/>
    </row>
    <row r="1359" spans="30:36" ht="18">
      <c r="AD1359" s="93"/>
      <c r="AE1359" s="214"/>
      <c r="AF1359" s="93"/>
      <c r="AG1359" s="93"/>
      <c r="AH1359" s="93"/>
      <c r="AI1359" s="93"/>
      <c r="AJ1359" s="93"/>
    </row>
    <row r="1360" spans="30:36" ht="18">
      <c r="AD1360" s="93"/>
      <c r="AE1360" s="214"/>
      <c r="AF1360" s="93"/>
      <c r="AG1360" s="93"/>
      <c r="AH1360" s="93"/>
      <c r="AI1360" s="93"/>
      <c r="AJ1360" s="93"/>
    </row>
    <row r="1361" spans="30:36" ht="18">
      <c r="AD1361" s="93"/>
      <c r="AE1361" s="214"/>
      <c r="AF1361" s="93"/>
      <c r="AG1361" s="93"/>
      <c r="AH1361" s="93"/>
      <c r="AI1361" s="93"/>
      <c r="AJ1361" s="93"/>
    </row>
    <row r="1362" spans="30:36" ht="18">
      <c r="AD1362" s="93"/>
      <c r="AE1362" s="215"/>
      <c r="AF1362" s="93"/>
      <c r="AG1362" s="93"/>
      <c r="AH1362" s="93"/>
      <c r="AI1362" s="93"/>
      <c r="AJ1362" s="93"/>
    </row>
    <row r="1363" spans="30:36" ht="18">
      <c r="AD1363" s="93"/>
      <c r="AE1363" s="215"/>
      <c r="AF1363" s="93"/>
      <c r="AG1363" s="93"/>
      <c r="AH1363" s="93"/>
      <c r="AI1363" s="93"/>
      <c r="AJ1363" s="93"/>
    </row>
    <row r="1364" spans="30:36" ht="18">
      <c r="AD1364" s="93"/>
      <c r="AE1364" s="215"/>
      <c r="AF1364" s="93"/>
      <c r="AG1364" s="93"/>
      <c r="AH1364" s="93"/>
      <c r="AI1364" s="93"/>
      <c r="AJ1364" s="93"/>
    </row>
    <row r="1365" spans="30:36" ht="18">
      <c r="AD1365" s="93"/>
      <c r="AE1365" s="214"/>
      <c r="AF1365" s="93"/>
      <c r="AG1365" s="93"/>
      <c r="AH1365" s="93"/>
      <c r="AI1365" s="93"/>
      <c r="AJ1365" s="93"/>
    </row>
    <row r="1366" spans="30:36" ht="18">
      <c r="AD1366" s="93"/>
      <c r="AE1366" s="214"/>
      <c r="AF1366" s="93"/>
      <c r="AG1366" s="93"/>
      <c r="AH1366" s="93"/>
      <c r="AI1366" s="93"/>
      <c r="AJ1366" s="93"/>
    </row>
    <row r="1367" spans="30:36" ht="18">
      <c r="AD1367" s="93"/>
      <c r="AE1367" s="215"/>
      <c r="AF1367" s="93"/>
      <c r="AG1367" s="93"/>
      <c r="AH1367" s="93"/>
      <c r="AI1367" s="93"/>
      <c r="AJ1367" s="93"/>
    </row>
    <row r="1368" spans="30:36" ht="18">
      <c r="AD1368" s="93"/>
      <c r="AE1368" s="214"/>
      <c r="AF1368" s="93"/>
      <c r="AG1368" s="93"/>
      <c r="AH1368" s="93"/>
      <c r="AI1368" s="93"/>
      <c r="AJ1368" s="93"/>
    </row>
    <row r="1369" spans="30:36" ht="18">
      <c r="AD1369" s="93"/>
      <c r="AE1369" s="214"/>
      <c r="AF1369" s="93"/>
      <c r="AG1369" s="93"/>
      <c r="AH1369" s="93"/>
      <c r="AI1369" s="93"/>
      <c r="AJ1369" s="93"/>
    </row>
    <row r="1370" spans="30:36" ht="18">
      <c r="AD1370" s="93"/>
      <c r="AE1370" s="215"/>
      <c r="AF1370" s="93"/>
      <c r="AG1370" s="93"/>
      <c r="AH1370" s="93"/>
      <c r="AI1370" s="93"/>
      <c r="AJ1370" s="93"/>
    </row>
    <row r="1371" spans="30:36" ht="18">
      <c r="AD1371" s="93"/>
      <c r="AE1371" s="215"/>
      <c r="AF1371" s="93"/>
      <c r="AG1371" s="93"/>
      <c r="AH1371" s="93"/>
      <c r="AI1371" s="93"/>
      <c r="AJ1371" s="93"/>
    </row>
    <row r="1372" spans="30:36" ht="18">
      <c r="AD1372" s="93"/>
      <c r="AE1372" s="214"/>
      <c r="AF1372" s="93"/>
      <c r="AG1372" s="93"/>
      <c r="AH1372" s="93"/>
      <c r="AI1372" s="93"/>
      <c r="AJ1372" s="93"/>
    </row>
    <row r="1373" spans="30:36" ht="18">
      <c r="AD1373" s="93"/>
      <c r="AE1373" s="214"/>
      <c r="AF1373" s="93"/>
      <c r="AG1373" s="93"/>
      <c r="AH1373" s="93"/>
      <c r="AI1373" s="93"/>
      <c r="AJ1373" s="93"/>
    </row>
    <row r="1374" spans="30:36" ht="18">
      <c r="AD1374" s="93"/>
      <c r="AE1374" s="215"/>
      <c r="AF1374" s="93"/>
      <c r="AG1374" s="93"/>
      <c r="AH1374" s="93"/>
      <c r="AI1374" s="93"/>
      <c r="AJ1374" s="93"/>
    </row>
    <row r="1375" spans="30:36" ht="18">
      <c r="AD1375" s="93"/>
      <c r="AE1375" s="214"/>
      <c r="AF1375" s="93"/>
      <c r="AG1375" s="93"/>
      <c r="AH1375" s="93"/>
      <c r="AI1375" s="93"/>
      <c r="AJ1375" s="93"/>
    </row>
    <row r="1376" spans="30:36" ht="18">
      <c r="AD1376" s="93"/>
      <c r="AE1376" s="214"/>
      <c r="AF1376" s="93"/>
      <c r="AG1376" s="93"/>
      <c r="AH1376" s="93"/>
      <c r="AI1376" s="93"/>
      <c r="AJ1376" s="93"/>
    </row>
    <row r="1377" spans="30:36" ht="18">
      <c r="AD1377" s="93"/>
      <c r="AE1377" s="215"/>
      <c r="AF1377" s="93"/>
      <c r="AG1377" s="93"/>
      <c r="AH1377" s="93"/>
      <c r="AI1377" s="93"/>
      <c r="AJ1377" s="93"/>
    </row>
    <row r="1378" spans="30:36" ht="18">
      <c r="AD1378" s="93"/>
      <c r="AE1378" s="214"/>
      <c r="AF1378" s="93"/>
      <c r="AG1378" s="93"/>
      <c r="AH1378" s="93"/>
      <c r="AI1378" s="93"/>
      <c r="AJ1378" s="93"/>
    </row>
    <row r="1379" spans="30:36" ht="18">
      <c r="AD1379" s="93"/>
      <c r="AE1379" s="214"/>
      <c r="AF1379" s="93"/>
      <c r="AG1379" s="93"/>
      <c r="AH1379" s="93"/>
      <c r="AI1379" s="93"/>
      <c r="AJ1379" s="93"/>
    </row>
    <row r="1380" spans="30:36" ht="18">
      <c r="AD1380" s="93"/>
      <c r="AE1380" s="214"/>
      <c r="AF1380" s="93"/>
      <c r="AG1380" s="93"/>
      <c r="AH1380" s="93"/>
      <c r="AI1380" s="93"/>
      <c r="AJ1380" s="93"/>
    </row>
    <row r="1381" spans="30:36" ht="18">
      <c r="AD1381" s="93"/>
      <c r="AE1381" s="214"/>
      <c r="AF1381" s="93"/>
      <c r="AG1381" s="93"/>
      <c r="AH1381" s="93"/>
      <c r="AI1381" s="93"/>
      <c r="AJ1381" s="93"/>
    </row>
    <row r="1382" spans="30:36" ht="18">
      <c r="AD1382" s="93"/>
      <c r="AE1382" s="214"/>
      <c r="AF1382" s="93"/>
      <c r="AG1382" s="93"/>
      <c r="AH1382" s="93"/>
      <c r="AI1382" s="93"/>
      <c r="AJ1382" s="93"/>
    </row>
    <row r="1383" spans="30:36" ht="18">
      <c r="AD1383" s="93"/>
      <c r="AE1383" s="215"/>
      <c r="AF1383" s="93"/>
      <c r="AG1383" s="93"/>
      <c r="AH1383" s="93"/>
      <c r="AI1383" s="93"/>
      <c r="AJ1383" s="93"/>
    </row>
    <row r="1384" spans="30:36" ht="18">
      <c r="AD1384" s="93"/>
      <c r="AE1384" s="214"/>
      <c r="AF1384" s="93"/>
      <c r="AG1384" s="93"/>
      <c r="AH1384" s="93"/>
      <c r="AI1384" s="93"/>
      <c r="AJ1384" s="93"/>
    </row>
    <row r="1385" spans="30:36" ht="18">
      <c r="AD1385" s="93"/>
      <c r="AE1385" s="214"/>
      <c r="AF1385" s="93"/>
      <c r="AG1385" s="93"/>
      <c r="AH1385" s="93"/>
      <c r="AI1385" s="93"/>
      <c r="AJ1385" s="93"/>
    </row>
    <row r="1386" spans="30:36" ht="18">
      <c r="AD1386" s="93"/>
      <c r="AE1386" s="215"/>
      <c r="AF1386" s="93"/>
      <c r="AG1386" s="93"/>
      <c r="AH1386" s="93"/>
      <c r="AI1386" s="93"/>
      <c r="AJ1386" s="93"/>
    </row>
    <row r="1387" spans="30:36" ht="18">
      <c r="AD1387" s="93"/>
      <c r="AE1387" s="214"/>
      <c r="AF1387" s="93"/>
      <c r="AG1387" s="93"/>
      <c r="AH1387" s="93"/>
      <c r="AI1387" s="93"/>
      <c r="AJ1387" s="93"/>
    </row>
    <row r="1388" spans="30:36" ht="18">
      <c r="AD1388" s="93"/>
      <c r="AE1388" s="214"/>
      <c r="AF1388" s="93"/>
      <c r="AG1388" s="93"/>
      <c r="AH1388" s="93"/>
      <c r="AI1388" s="93"/>
      <c r="AJ1388" s="93"/>
    </row>
    <row r="1389" spans="30:36" ht="18">
      <c r="AD1389" s="93"/>
      <c r="AE1389" s="214"/>
      <c r="AF1389" s="93"/>
      <c r="AG1389" s="93"/>
      <c r="AH1389" s="93"/>
      <c r="AI1389" s="93"/>
      <c r="AJ1389" s="93"/>
    </row>
    <row r="1390" spans="30:36" ht="18">
      <c r="AD1390" s="93"/>
      <c r="AE1390" s="214"/>
      <c r="AF1390" s="93"/>
      <c r="AG1390" s="93"/>
      <c r="AH1390" s="93"/>
      <c r="AI1390" s="93"/>
      <c r="AJ1390" s="93"/>
    </row>
    <row r="1391" spans="30:36" ht="18">
      <c r="AD1391" s="93"/>
      <c r="AE1391" s="214"/>
      <c r="AF1391" s="93"/>
      <c r="AG1391" s="93"/>
      <c r="AH1391" s="93"/>
      <c r="AI1391" s="93"/>
      <c r="AJ1391" s="93"/>
    </row>
    <row r="1392" spans="30:36" ht="18">
      <c r="AD1392" s="93"/>
      <c r="AE1392" s="215"/>
      <c r="AF1392" s="93"/>
      <c r="AG1392" s="93"/>
      <c r="AH1392" s="93"/>
      <c r="AI1392" s="93"/>
      <c r="AJ1392" s="93"/>
    </row>
    <row r="1393" spans="30:36" ht="18">
      <c r="AD1393" s="93"/>
      <c r="AE1393" s="215"/>
      <c r="AF1393" s="93"/>
      <c r="AG1393" s="93"/>
      <c r="AH1393" s="93"/>
      <c r="AI1393" s="93"/>
      <c r="AJ1393" s="93"/>
    </row>
    <row r="1394" spans="30:36" ht="18">
      <c r="AD1394" s="93"/>
      <c r="AE1394" s="214"/>
      <c r="AF1394" s="93"/>
      <c r="AG1394" s="93"/>
      <c r="AH1394" s="93"/>
      <c r="AI1394" s="93"/>
      <c r="AJ1394" s="93"/>
    </row>
    <row r="1395" spans="30:36" ht="18">
      <c r="AD1395" s="93"/>
      <c r="AE1395" s="214"/>
      <c r="AF1395" s="93"/>
      <c r="AG1395" s="93"/>
      <c r="AH1395" s="93"/>
      <c r="AI1395" s="93"/>
      <c r="AJ1395" s="93"/>
    </row>
    <row r="1396" spans="30:36" ht="18">
      <c r="AD1396" s="93"/>
      <c r="AE1396" s="214"/>
      <c r="AF1396" s="94"/>
      <c r="AG1396" s="93"/>
      <c r="AH1396" s="93"/>
      <c r="AI1396" s="93"/>
      <c r="AJ1396" s="93"/>
    </row>
    <row r="1397" spans="30:36" ht="18">
      <c r="AD1397" s="93"/>
      <c r="AE1397" s="214"/>
      <c r="AF1397" s="94"/>
      <c r="AG1397" s="93"/>
      <c r="AH1397" s="93"/>
      <c r="AI1397" s="93"/>
      <c r="AJ1397" s="93"/>
    </row>
    <row r="1398" spans="30:36" ht="18">
      <c r="AD1398" s="93"/>
      <c r="AE1398" s="214"/>
      <c r="AF1398" s="94"/>
      <c r="AG1398" s="93"/>
      <c r="AH1398" s="93"/>
      <c r="AI1398" s="93"/>
      <c r="AJ1398" s="93"/>
    </row>
    <row r="1399" spans="30:36" ht="18">
      <c r="AD1399" s="93"/>
      <c r="AE1399" s="215"/>
      <c r="AF1399" s="93"/>
      <c r="AG1399" s="93"/>
      <c r="AH1399" s="93"/>
      <c r="AI1399" s="93"/>
      <c r="AJ1399" s="93"/>
    </row>
    <row r="1400" spans="30:36" ht="18">
      <c r="AD1400" s="93"/>
      <c r="AE1400" s="215"/>
      <c r="AF1400" s="93"/>
      <c r="AG1400" s="93"/>
      <c r="AH1400" s="93"/>
      <c r="AI1400" s="93"/>
      <c r="AJ1400" s="93"/>
    </row>
    <row r="1401" spans="30:36" ht="18">
      <c r="AD1401" s="93"/>
      <c r="AE1401" s="215"/>
      <c r="AF1401" s="93"/>
      <c r="AG1401" s="93"/>
      <c r="AH1401" s="93"/>
      <c r="AI1401" s="93"/>
      <c r="AJ1401" s="93"/>
    </row>
    <row r="1402" spans="30:36" ht="18">
      <c r="AD1402" s="93"/>
      <c r="AE1402" s="214"/>
      <c r="AF1402" s="93"/>
      <c r="AG1402" s="93"/>
      <c r="AH1402" s="93"/>
      <c r="AI1402" s="93"/>
      <c r="AJ1402" s="93"/>
    </row>
    <row r="1403" spans="30:36" ht="18">
      <c r="AD1403" s="93"/>
      <c r="AE1403" s="214"/>
      <c r="AF1403" s="93"/>
      <c r="AG1403" s="93"/>
      <c r="AH1403" s="93"/>
      <c r="AI1403" s="93"/>
      <c r="AJ1403" s="93"/>
    </row>
    <row r="1404" spans="30:36" ht="18">
      <c r="AD1404" s="93"/>
      <c r="AE1404" s="214"/>
      <c r="AF1404" s="93"/>
      <c r="AG1404" s="93"/>
      <c r="AH1404" s="93"/>
      <c r="AI1404" s="93"/>
      <c r="AJ1404" s="93"/>
    </row>
    <row r="1405" spans="30:36" ht="18">
      <c r="AD1405" s="93"/>
      <c r="AE1405" s="214"/>
      <c r="AF1405" s="93"/>
      <c r="AG1405" s="93"/>
      <c r="AH1405" s="93"/>
      <c r="AI1405" s="93"/>
      <c r="AJ1405" s="93"/>
    </row>
    <row r="1406" spans="30:36" ht="18">
      <c r="AD1406" s="93"/>
      <c r="AE1406" s="214"/>
      <c r="AF1406" s="93"/>
      <c r="AG1406" s="93"/>
      <c r="AH1406" s="93"/>
      <c r="AI1406" s="93"/>
      <c r="AJ1406" s="93"/>
    </row>
    <row r="1407" spans="30:36" ht="18">
      <c r="AD1407" s="93"/>
      <c r="AE1407" s="214"/>
      <c r="AF1407" s="93"/>
      <c r="AG1407" s="93"/>
      <c r="AH1407" s="93"/>
      <c r="AI1407" s="93"/>
      <c r="AJ1407" s="93"/>
    </row>
    <row r="1408" spans="30:36" ht="18">
      <c r="AD1408" s="93"/>
      <c r="AE1408" s="214"/>
      <c r="AF1408" s="93"/>
      <c r="AG1408" s="93"/>
      <c r="AH1408" s="93"/>
      <c r="AI1408" s="93"/>
      <c r="AJ1408" s="93"/>
    </row>
    <row r="1409" spans="30:36" ht="18">
      <c r="AD1409" s="93"/>
      <c r="AE1409" s="215"/>
      <c r="AF1409" s="93"/>
      <c r="AG1409" s="93"/>
      <c r="AH1409" s="93"/>
      <c r="AI1409" s="93"/>
      <c r="AJ1409" s="93"/>
    </row>
    <row r="1410" spans="30:36" ht="18">
      <c r="AD1410" s="93"/>
      <c r="AE1410" s="214"/>
      <c r="AF1410" s="93"/>
      <c r="AG1410" s="93"/>
      <c r="AH1410" s="93"/>
      <c r="AI1410" s="93"/>
      <c r="AJ1410" s="93"/>
    </row>
    <row r="1411" spans="30:36" ht="18">
      <c r="AD1411" s="93"/>
      <c r="AE1411" s="214"/>
      <c r="AF1411" s="93"/>
      <c r="AG1411" s="93"/>
      <c r="AH1411" s="93"/>
      <c r="AI1411" s="93"/>
      <c r="AJ1411" s="93"/>
    </row>
    <row r="1412" spans="30:36" ht="18">
      <c r="AD1412" s="93"/>
      <c r="AE1412" s="215"/>
      <c r="AF1412" s="93"/>
      <c r="AG1412" s="93"/>
      <c r="AH1412" s="93"/>
      <c r="AI1412" s="93"/>
      <c r="AJ1412" s="93"/>
    </row>
    <row r="1413" spans="30:36" ht="18">
      <c r="AD1413" s="93"/>
      <c r="AE1413" s="214"/>
      <c r="AF1413" s="93"/>
      <c r="AG1413" s="93"/>
      <c r="AH1413" s="93"/>
      <c r="AI1413" s="93"/>
      <c r="AJ1413" s="93"/>
    </row>
    <row r="1414" spans="30:36" ht="18">
      <c r="AD1414" s="93"/>
      <c r="AE1414" s="214"/>
      <c r="AF1414" s="93"/>
      <c r="AG1414" s="93"/>
      <c r="AH1414" s="93"/>
      <c r="AI1414" s="93"/>
      <c r="AJ1414" s="93"/>
    </row>
    <row r="1415" spans="30:36" ht="18">
      <c r="AD1415" s="93"/>
      <c r="AE1415" s="215"/>
      <c r="AF1415" s="93"/>
      <c r="AG1415" s="93"/>
      <c r="AH1415" s="93"/>
      <c r="AI1415" s="93"/>
      <c r="AJ1415" s="93"/>
    </row>
    <row r="1416" spans="30:36" ht="18">
      <c r="AD1416" s="93"/>
      <c r="AE1416" s="214"/>
      <c r="AF1416" s="93"/>
      <c r="AG1416" s="93"/>
      <c r="AH1416" s="93"/>
      <c r="AI1416" s="93"/>
      <c r="AJ1416" s="93"/>
    </row>
    <row r="1417" spans="30:36" ht="18">
      <c r="AD1417" s="93"/>
      <c r="AE1417" s="214"/>
      <c r="AF1417" s="93"/>
      <c r="AG1417" s="93"/>
      <c r="AH1417" s="93"/>
      <c r="AI1417" s="93"/>
      <c r="AJ1417" s="93"/>
    </row>
    <row r="1418" spans="30:36" ht="18">
      <c r="AD1418" s="93"/>
      <c r="AE1418" s="215"/>
      <c r="AF1418" s="93"/>
      <c r="AG1418" s="93"/>
      <c r="AH1418" s="93"/>
      <c r="AI1418" s="93"/>
      <c r="AJ1418" s="93"/>
    </row>
    <row r="1419" spans="30:36" ht="18">
      <c r="AD1419" s="93"/>
      <c r="AE1419" s="214"/>
      <c r="AF1419" s="93"/>
      <c r="AG1419" s="93"/>
      <c r="AH1419" s="93"/>
      <c r="AI1419" s="93"/>
      <c r="AJ1419" s="93"/>
    </row>
    <row r="1420" spans="30:36" ht="18">
      <c r="AD1420" s="93"/>
      <c r="AE1420" s="214"/>
      <c r="AF1420" s="93"/>
      <c r="AG1420" s="93"/>
      <c r="AH1420" s="93"/>
      <c r="AI1420" s="93"/>
      <c r="AJ1420" s="93"/>
    </row>
    <row r="1421" spans="30:36" ht="18">
      <c r="AD1421" s="93"/>
      <c r="AE1421" s="214"/>
      <c r="AF1421" s="93"/>
      <c r="AG1421" s="93"/>
      <c r="AH1421" s="93"/>
      <c r="AI1421" s="93"/>
      <c r="AJ1421" s="93"/>
    </row>
    <row r="1422" spans="30:36" ht="18">
      <c r="AD1422" s="93"/>
      <c r="AE1422" s="215"/>
      <c r="AF1422" s="93"/>
      <c r="AG1422" s="93"/>
      <c r="AH1422" s="93"/>
      <c r="AI1422" s="93"/>
      <c r="AJ1422" s="93"/>
    </row>
    <row r="1423" spans="30:36" ht="18">
      <c r="AD1423" s="93"/>
      <c r="AE1423" s="215"/>
      <c r="AF1423" s="93"/>
      <c r="AG1423" s="93"/>
      <c r="AH1423" s="93"/>
      <c r="AI1423" s="93"/>
      <c r="AJ1423" s="93"/>
    </row>
    <row r="1424" spans="30:36" ht="18">
      <c r="AD1424" s="93"/>
      <c r="AE1424" s="215"/>
      <c r="AF1424" s="93"/>
      <c r="AG1424" s="93"/>
      <c r="AH1424" s="93"/>
      <c r="AI1424" s="93"/>
      <c r="AJ1424" s="93"/>
    </row>
    <row r="1425" spans="30:36" ht="18">
      <c r="AD1425" s="93"/>
      <c r="AE1425" s="214"/>
      <c r="AF1425" s="93"/>
      <c r="AG1425" s="93"/>
      <c r="AH1425" s="93"/>
      <c r="AI1425" s="93"/>
      <c r="AJ1425" s="93"/>
    </row>
    <row r="1426" spans="30:36" ht="18">
      <c r="AD1426" s="93"/>
      <c r="AE1426" s="214"/>
      <c r="AF1426" s="93"/>
      <c r="AG1426" s="93"/>
      <c r="AH1426" s="93"/>
      <c r="AI1426" s="93"/>
      <c r="AJ1426" s="93"/>
    </row>
    <row r="1427" spans="30:36" ht="18">
      <c r="AD1427" s="93"/>
      <c r="AE1427" s="215"/>
      <c r="AF1427" s="93"/>
      <c r="AG1427" s="93"/>
      <c r="AH1427" s="93"/>
      <c r="AI1427" s="93"/>
      <c r="AJ1427" s="93"/>
    </row>
    <row r="1428" spans="30:36" ht="18">
      <c r="AD1428" s="93"/>
      <c r="AE1428" s="215"/>
      <c r="AF1428" s="93"/>
      <c r="AG1428" s="93"/>
      <c r="AH1428" s="93"/>
      <c r="AI1428" s="93"/>
      <c r="AJ1428" s="93"/>
    </row>
    <row r="1429" spans="30:36" ht="18">
      <c r="AD1429" s="93"/>
      <c r="AE1429" s="214"/>
      <c r="AF1429" s="93"/>
      <c r="AG1429" s="93"/>
      <c r="AH1429" s="93"/>
      <c r="AI1429" s="93"/>
      <c r="AJ1429" s="93"/>
    </row>
    <row r="1430" spans="30:36" ht="18">
      <c r="AD1430" s="93"/>
      <c r="AE1430" s="214"/>
      <c r="AF1430" s="93"/>
      <c r="AG1430" s="93"/>
      <c r="AH1430" s="93"/>
      <c r="AI1430" s="93"/>
      <c r="AJ1430" s="93"/>
    </row>
    <row r="1431" spans="30:36" ht="18">
      <c r="AD1431" s="93"/>
      <c r="AE1431" s="215"/>
      <c r="AF1431" s="93"/>
      <c r="AG1431" s="93"/>
      <c r="AH1431" s="93"/>
      <c r="AI1431" s="93"/>
      <c r="AJ1431" s="93"/>
    </row>
    <row r="1432" spans="30:36" ht="18">
      <c r="AD1432" s="93"/>
      <c r="AE1432" s="214"/>
      <c r="AF1432" s="93"/>
      <c r="AG1432" s="93"/>
      <c r="AH1432" s="93"/>
      <c r="AI1432" s="93"/>
      <c r="AJ1432" s="93"/>
    </row>
    <row r="1433" spans="30:36" ht="18">
      <c r="AD1433" s="93"/>
      <c r="AE1433" s="214"/>
      <c r="AF1433" s="93"/>
      <c r="AG1433" s="93"/>
      <c r="AH1433" s="93"/>
      <c r="AI1433" s="93"/>
      <c r="AJ1433" s="93"/>
    </row>
    <row r="1434" spans="30:36" ht="18">
      <c r="AD1434" s="93"/>
      <c r="AE1434" s="215"/>
      <c r="AF1434" s="93"/>
      <c r="AG1434" s="93"/>
      <c r="AH1434" s="93"/>
      <c r="AI1434" s="93"/>
      <c r="AJ1434" s="93"/>
    </row>
    <row r="1435" spans="30:36" ht="18">
      <c r="AD1435" s="93"/>
      <c r="AE1435" s="214"/>
      <c r="AF1435" s="93"/>
      <c r="AG1435" s="93"/>
      <c r="AH1435" s="93"/>
      <c r="AI1435" s="93"/>
      <c r="AJ1435" s="93"/>
    </row>
    <row r="1436" spans="30:36" ht="18">
      <c r="AD1436" s="93"/>
      <c r="AE1436" s="214"/>
      <c r="AF1436" s="93"/>
      <c r="AG1436" s="93"/>
      <c r="AH1436" s="93"/>
      <c r="AI1436" s="93"/>
      <c r="AJ1436" s="93"/>
    </row>
    <row r="1437" spans="30:36" ht="18">
      <c r="AD1437" s="93"/>
      <c r="AE1437" s="215"/>
      <c r="AF1437" s="93"/>
      <c r="AG1437" s="93"/>
      <c r="AH1437" s="93"/>
      <c r="AI1437" s="93"/>
      <c r="AJ1437" s="93"/>
    </row>
    <row r="1438" spans="30:36" ht="18">
      <c r="AD1438" s="93"/>
      <c r="AE1438" s="214"/>
      <c r="AF1438" s="93"/>
      <c r="AG1438" s="93"/>
      <c r="AH1438" s="93"/>
      <c r="AI1438" s="93"/>
      <c r="AJ1438" s="93"/>
    </row>
    <row r="1439" spans="30:36" ht="18">
      <c r="AD1439" s="93"/>
      <c r="AE1439" s="214"/>
      <c r="AF1439" s="93"/>
      <c r="AG1439" s="93"/>
      <c r="AH1439" s="93"/>
      <c r="AI1439" s="93"/>
      <c r="AJ1439" s="93"/>
    </row>
    <row r="1440" spans="30:36" ht="18">
      <c r="AD1440" s="93"/>
      <c r="AE1440" s="214"/>
      <c r="AF1440" s="93"/>
      <c r="AG1440" s="93"/>
      <c r="AH1440" s="93"/>
      <c r="AI1440" s="93"/>
      <c r="AJ1440" s="93"/>
    </row>
    <row r="1441" spans="30:36" ht="18">
      <c r="AD1441" s="93"/>
      <c r="AE1441" s="214"/>
      <c r="AF1441" s="93"/>
      <c r="AG1441" s="93"/>
      <c r="AH1441" s="93"/>
      <c r="AI1441" s="93"/>
      <c r="AJ1441" s="93"/>
    </row>
    <row r="1442" spans="30:36" ht="18">
      <c r="AD1442" s="93"/>
      <c r="AE1442" s="215"/>
      <c r="AF1442" s="93"/>
      <c r="AG1442" s="93"/>
      <c r="AH1442" s="93"/>
      <c r="AI1442" s="93"/>
      <c r="AJ1442" s="93"/>
    </row>
    <row r="1443" spans="30:36" ht="18">
      <c r="AD1443" s="93"/>
      <c r="AE1443" s="214"/>
      <c r="AF1443" s="93"/>
      <c r="AG1443" s="93"/>
      <c r="AH1443" s="93"/>
      <c r="AI1443" s="93"/>
      <c r="AJ1443" s="93"/>
    </row>
    <row r="1444" spans="30:36" ht="18">
      <c r="AD1444" s="93"/>
      <c r="AE1444" s="214"/>
      <c r="AF1444" s="93"/>
      <c r="AG1444" s="93"/>
      <c r="AH1444" s="93"/>
      <c r="AI1444" s="93"/>
      <c r="AJ1444" s="93"/>
    </row>
    <row r="1445" spans="30:36" ht="18">
      <c r="AD1445" s="93"/>
      <c r="AE1445" s="215"/>
      <c r="AF1445" s="93"/>
      <c r="AG1445" s="93"/>
      <c r="AH1445" s="93"/>
      <c r="AI1445" s="93"/>
      <c r="AJ1445" s="93"/>
    </row>
    <row r="1446" spans="30:36" ht="18">
      <c r="AD1446" s="93"/>
      <c r="AE1446" s="214"/>
      <c r="AF1446" s="93"/>
      <c r="AG1446" s="93"/>
      <c r="AH1446" s="93"/>
      <c r="AI1446" s="93"/>
      <c r="AJ1446" s="93"/>
    </row>
    <row r="1447" spans="30:36" ht="18">
      <c r="AD1447" s="93"/>
      <c r="AE1447" s="214"/>
      <c r="AF1447" s="93"/>
      <c r="AG1447" s="93"/>
      <c r="AH1447" s="93"/>
      <c r="AI1447" s="93"/>
      <c r="AJ1447" s="93"/>
    </row>
    <row r="1448" spans="30:36" ht="18">
      <c r="AD1448" s="93"/>
      <c r="AE1448" s="215"/>
      <c r="AF1448" s="93"/>
      <c r="AG1448" s="93"/>
      <c r="AH1448" s="93"/>
      <c r="AI1448" s="93"/>
      <c r="AJ1448" s="93"/>
    </row>
    <row r="1449" spans="30:36" ht="18">
      <c r="AD1449" s="93"/>
      <c r="AE1449" s="214"/>
      <c r="AF1449" s="93"/>
      <c r="AG1449" s="93"/>
      <c r="AH1449" s="93"/>
      <c r="AI1449" s="93"/>
      <c r="AJ1449" s="93"/>
    </row>
    <row r="1450" spans="30:36" ht="18">
      <c r="AD1450" s="93"/>
      <c r="AE1450" s="214"/>
      <c r="AF1450" s="93"/>
      <c r="AG1450" s="93"/>
      <c r="AH1450" s="93"/>
      <c r="AI1450" s="93"/>
      <c r="AJ1450" s="93"/>
    </row>
    <row r="1451" spans="30:36" ht="18">
      <c r="AD1451" s="93"/>
      <c r="AE1451" s="215"/>
      <c r="AF1451" s="93"/>
      <c r="AG1451" s="93"/>
      <c r="AH1451" s="93"/>
      <c r="AI1451" s="93"/>
      <c r="AJ1451" s="93"/>
    </row>
    <row r="1452" spans="30:36" ht="18">
      <c r="AD1452" s="93"/>
      <c r="AE1452" s="214"/>
      <c r="AF1452" s="93"/>
      <c r="AG1452" s="93"/>
      <c r="AH1452" s="93"/>
      <c r="AI1452" s="93"/>
      <c r="AJ1452" s="93"/>
    </row>
    <row r="1453" spans="30:36" ht="18">
      <c r="AD1453" s="93"/>
      <c r="AE1453" s="214"/>
      <c r="AF1453" s="93"/>
      <c r="AG1453" s="93"/>
      <c r="AH1453" s="93"/>
      <c r="AI1453" s="93"/>
      <c r="AJ1453" s="93"/>
    </row>
    <row r="1454" spans="30:36" ht="18">
      <c r="AD1454" s="93"/>
      <c r="AE1454" s="215"/>
      <c r="AF1454" s="93"/>
      <c r="AG1454" s="93"/>
      <c r="AH1454" s="93"/>
      <c r="AI1454" s="93"/>
      <c r="AJ1454" s="93"/>
    </row>
    <row r="1455" spans="30:36" ht="18">
      <c r="AD1455" s="93"/>
      <c r="AE1455" s="214"/>
      <c r="AF1455" s="93"/>
      <c r="AG1455" s="93"/>
      <c r="AH1455" s="93"/>
      <c r="AI1455" s="93"/>
      <c r="AJ1455" s="93"/>
    </row>
    <row r="1456" spans="30:36" ht="18">
      <c r="AD1456" s="93"/>
      <c r="AE1456" s="214"/>
      <c r="AF1456" s="93"/>
      <c r="AG1456" s="93"/>
      <c r="AH1456" s="93"/>
      <c r="AI1456" s="93"/>
      <c r="AJ1456" s="93"/>
    </row>
    <row r="1457" spans="30:36" ht="18">
      <c r="AD1457" s="93"/>
      <c r="AE1457" s="214"/>
      <c r="AF1457" s="93"/>
      <c r="AG1457" s="93"/>
      <c r="AH1457" s="93"/>
      <c r="AI1457" s="93"/>
      <c r="AJ1457" s="93"/>
    </row>
    <row r="1458" spans="30:36" ht="18">
      <c r="AD1458" s="93"/>
      <c r="AE1458" s="214"/>
      <c r="AF1458" s="93"/>
      <c r="AG1458" s="93"/>
      <c r="AH1458" s="93"/>
      <c r="AI1458" s="93"/>
      <c r="AJ1458" s="93"/>
    </row>
    <row r="1459" spans="30:36" ht="18">
      <c r="AD1459" s="93"/>
      <c r="AE1459" s="215"/>
      <c r="AF1459" s="93"/>
      <c r="AG1459" s="93"/>
      <c r="AH1459" s="93"/>
      <c r="AI1459" s="93"/>
      <c r="AJ1459" s="93"/>
    </row>
    <row r="1460" spans="30:36" ht="18">
      <c r="AD1460" s="93"/>
      <c r="AE1460" s="214"/>
      <c r="AF1460" s="93"/>
      <c r="AG1460" s="93"/>
      <c r="AH1460" s="93"/>
      <c r="AI1460" s="93"/>
      <c r="AJ1460" s="93"/>
    </row>
    <row r="1461" spans="30:36" ht="18">
      <c r="AD1461" s="93"/>
      <c r="AE1461" s="214"/>
      <c r="AF1461" s="93"/>
      <c r="AG1461" s="93"/>
      <c r="AH1461" s="93"/>
      <c r="AI1461" s="93"/>
      <c r="AJ1461" s="93"/>
    </row>
    <row r="1462" spans="30:36" ht="18">
      <c r="AD1462" s="93"/>
      <c r="AE1462" s="214"/>
      <c r="AF1462" s="93"/>
      <c r="AG1462" s="93"/>
      <c r="AH1462" s="93"/>
      <c r="AI1462" s="93"/>
      <c r="AJ1462" s="93"/>
    </row>
    <row r="1463" spans="30:36" ht="18">
      <c r="AD1463" s="93"/>
      <c r="AE1463" s="214"/>
      <c r="AF1463" s="93"/>
      <c r="AG1463" s="93"/>
      <c r="AH1463" s="93"/>
      <c r="AI1463" s="93"/>
      <c r="AJ1463" s="93"/>
    </row>
    <row r="1464" spans="30:36" ht="18">
      <c r="AD1464" s="93"/>
      <c r="AE1464" s="214"/>
      <c r="AF1464" s="93"/>
      <c r="AG1464" s="93"/>
      <c r="AH1464" s="93"/>
      <c r="AI1464" s="93"/>
      <c r="AJ1464" s="93"/>
    </row>
    <row r="1465" spans="30:36" ht="18">
      <c r="AD1465" s="93"/>
      <c r="AE1465" s="214"/>
      <c r="AF1465" s="93"/>
      <c r="AG1465" s="93"/>
      <c r="AH1465" s="93"/>
      <c r="AI1465" s="93"/>
      <c r="AJ1465" s="93"/>
    </row>
    <row r="1466" spans="30:36" ht="18">
      <c r="AD1466" s="93"/>
      <c r="AE1466" s="214"/>
      <c r="AF1466" s="93"/>
      <c r="AG1466" s="93"/>
      <c r="AH1466" s="93"/>
      <c r="AI1466" s="93"/>
      <c r="AJ1466" s="93"/>
    </row>
    <row r="1467" spans="30:36" ht="18">
      <c r="AD1467" s="93"/>
      <c r="AE1467" s="214"/>
      <c r="AF1467" s="93"/>
      <c r="AG1467" s="93"/>
      <c r="AH1467" s="93"/>
      <c r="AI1467" s="93"/>
      <c r="AJ1467" s="93"/>
    </row>
    <row r="1468" spans="30:36" ht="18">
      <c r="AD1468" s="93"/>
      <c r="AE1468" s="214"/>
      <c r="AF1468" s="93"/>
      <c r="AG1468" s="93"/>
      <c r="AH1468" s="93"/>
      <c r="AI1468" s="93"/>
      <c r="AJ1468" s="93"/>
    </row>
    <row r="1469" spans="30:36" ht="18">
      <c r="AD1469" s="93"/>
      <c r="AE1469" s="214"/>
      <c r="AF1469" s="93"/>
      <c r="AG1469" s="93"/>
      <c r="AH1469" s="93"/>
      <c r="AI1469" s="93"/>
      <c r="AJ1469" s="93"/>
    </row>
    <row r="1470" spans="30:36" ht="18">
      <c r="AD1470" s="93"/>
      <c r="AE1470" s="214"/>
      <c r="AF1470" s="93"/>
      <c r="AG1470" s="93"/>
      <c r="AH1470" s="93"/>
      <c r="AI1470" s="93"/>
      <c r="AJ1470" s="93"/>
    </row>
    <row r="1471" spans="30:36" ht="18">
      <c r="AD1471" s="93"/>
      <c r="AE1471" s="214"/>
      <c r="AF1471" s="93"/>
      <c r="AG1471" s="93"/>
      <c r="AH1471" s="93"/>
      <c r="AI1471" s="93"/>
      <c r="AJ1471" s="93"/>
    </row>
    <row r="1472" spans="30:36" ht="18">
      <c r="AD1472" s="93"/>
      <c r="AE1472" s="214"/>
      <c r="AF1472" s="93"/>
      <c r="AG1472" s="93"/>
      <c r="AH1472" s="93"/>
      <c r="AI1472" s="93"/>
      <c r="AJ1472" s="93"/>
    </row>
    <row r="1473" spans="30:36" ht="18">
      <c r="AD1473" s="93"/>
      <c r="AE1473" s="214"/>
      <c r="AF1473" s="93"/>
      <c r="AG1473" s="93"/>
      <c r="AH1473" s="93"/>
      <c r="AI1473" s="93"/>
      <c r="AJ1473" s="93"/>
    </row>
    <row r="1474" spans="30:36" ht="18">
      <c r="AD1474" s="93"/>
      <c r="AE1474" s="214"/>
      <c r="AF1474" s="93"/>
      <c r="AG1474" s="93"/>
      <c r="AH1474" s="93"/>
      <c r="AI1474" s="93"/>
      <c r="AJ1474" s="93"/>
    </row>
    <row r="1475" spans="30:36" ht="18">
      <c r="AD1475" s="93"/>
      <c r="AE1475" s="214"/>
      <c r="AF1475" s="93"/>
      <c r="AG1475" s="93"/>
      <c r="AH1475" s="93"/>
      <c r="AI1475" s="93"/>
      <c r="AJ1475" s="93"/>
    </row>
    <row r="1476" spans="30:36" ht="18">
      <c r="AD1476" s="93"/>
      <c r="AE1476" s="214"/>
      <c r="AF1476" s="93"/>
      <c r="AG1476" s="93"/>
      <c r="AH1476" s="93"/>
      <c r="AI1476" s="93"/>
      <c r="AJ1476" s="93"/>
    </row>
    <row r="1477" spans="30:36" ht="18">
      <c r="AD1477" s="93"/>
      <c r="AE1477" s="214"/>
      <c r="AF1477" s="93"/>
      <c r="AG1477" s="93"/>
      <c r="AH1477" s="93"/>
      <c r="AI1477" s="93"/>
      <c r="AJ1477" s="93"/>
    </row>
    <row r="1478" spans="30:36" ht="18">
      <c r="AD1478" s="93"/>
      <c r="AE1478" s="214"/>
      <c r="AF1478" s="93"/>
      <c r="AG1478" s="93"/>
      <c r="AH1478" s="93"/>
      <c r="AI1478" s="93"/>
      <c r="AJ1478" s="93"/>
    </row>
    <row r="1479" spans="30:36" ht="18">
      <c r="AD1479" s="93"/>
      <c r="AE1479" s="215"/>
      <c r="AF1479" s="93"/>
      <c r="AG1479" s="93"/>
      <c r="AH1479" s="93"/>
      <c r="AI1479" s="93"/>
      <c r="AJ1479" s="93"/>
    </row>
    <row r="1480" spans="30:36" ht="18">
      <c r="AD1480" s="93"/>
      <c r="AE1480" s="215"/>
      <c r="AF1480" s="93"/>
      <c r="AG1480" s="93"/>
      <c r="AH1480" s="93"/>
      <c r="AI1480" s="93"/>
      <c r="AJ1480" s="93"/>
    </row>
    <row r="1481" spans="30:36" ht="18">
      <c r="AD1481" s="93"/>
      <c r="AE1481" s="214"/>
      <c r="AF1481" s="93"/>
      <c r="AG1481" s="93"/>
      <c r="AH1481" s="93"/>
      <c r="AI1481" s="93"/>
      <c r="AJ1481" s="93"/>
    </row>
    <row r="1482" spans="30:36" ht="18">
      <c r="AD1482" s="93"/>
      <c r="AE1482" s="214"/>
      <c r="AF1482" s="93"/>
      <c r="AG1482" s="93"/>
      <c r="AH1482" s="93"/>
      <c r="AI1482" s="93"/>
      <c r="AJ1482" s="93"/>
    </row>
    <row r="1483" spans="30:36" ht="18">
      <c r="AD1483" s="93"/>
      <c r="AE1483" s="214"/>
      <c r="AF1483" s="93"/>
      <c r="AG1483" s="93"/>
      <c r="AH1483" s="93"/>
      <c r="AI1483" s="93"/>
      <c r="AJ1483" s="93"/>
    </row>
    <row r="1484" spans="30:36" ht="18">
      <c r="AD1484" s="93"/>
      <c r="AE1484" s="214"/>
      <c r="AF1484" s="93"/>
      <c r="AG1484" s="93"/>
      <c r="AH1484" s="93"/>
      <c r="AI1484" s="93"/>
      <c r="AJ1484" s="93"/>
    </row>
    <row r="1485" spans="30:36" ht="18">
      <c r="AD1485" s="93"/>
      <c r="AE1485" s="214"/>
      <c r="AF1485" s="93"/>
      <c r="AG1485" s="93"/>
      <c r="AH1485" s="93"/>
      <c r="AI1485" s="93"/>
      <c r="AJ1485" s="93"/>
    </row>
    <row r="1486" spans="30:36" ht="18">
      <c r="AD1486" s="93"/>
      <c r="AE1486" s="214"/>
      <c r="AF1486" s="93"/>
      <c r="AG1486" s="93"/>
      <c r="AH1486" s="93"/>
      <c r="AI1486" s="93"/>
      <c r="AJ1486" s="93"/>
    </row>
    <row r="1487" spans="30:36" ht="18">
      <c r="AD1487" s="93"/>
      <c r="AE1487" s="214"/>
      <c r="AF1487" s="93"/>
      <c r="AG1487" s="93"/>
      <c r="AH1487" s="93"/>
      <c r="AI1487" s="93"/>
      <c r="AJ1487" s="93"/>
    </row>
    <row r="1488" spans="30:36" ht="18">
      <c r="AD1488" s="93"/>
      <c r="AE1488" s="214"/>
      <c r="AF1488" s="93"/>
      <c r="AG1488" s="93"/>
      <c r="AH1488" s="93"/>
      <c r="AI1488" s="93"/>
      <c r="AJ1488" s="93"/>
    </row>
    <row r="1489" spans="30:36" ht="18">
      <c r="AD1489" s="93"/>
      <c r="AE1489" s="214"/>
      <c r="AF1489" s="93"/>
      <c r="AG1489" s="93"/>
      <c r="AH1489" s="93"/>
      <c r="AI1489" s="93"/>
      <c r="AJ1489" s="93"/>
    </row>
    <row r="1490" spans="30:36" ht="18">
      <c r="AD1490" s="93"/>
      <c r="AE1490" s="215"/>
      <c r="AF1490" s="93"/>
      <c r="AG1490" s="93"/>
      <c r="AH1490" s="93"/>
      <c r="AI1490" s="93"/>
      <c r="AJ1490" s="93"/>
    </row>
    <row r="1491" spans="30:36" ht="18">
      <c r="AD1491" s="93"/>
      <c r="AE1491" s="215"/>
      <c r="AF1491" s="93"/>
      <c r="AG1491" s="93"/>
      <c r="AH1491" s="93"/>
      <c r="AI1491" s="93"/>
      <c r="AJ1491" s="93"/>
    </row>
    <row r="1492" spans="30:36" ht="18">
      <c r="AD1492" s="93"/>
      <c r="AE1492" s="214"/>
      <c r="AF1492" s="93"/>
      <c r="AG1492" s="93"/>
      <c r="AH1492" s="93"/>
      <c r="AI1492" s="93"/>
      <c r="AJ1492" s="93"/>
    </row>
    <row r="1493" spans="30:36" ht="18">
      <c r="AD1493" s="93"/>
      <c r="AE1493" s="214"/>
      <c r="AF1493" s="93"/>
      <c r="AG1493" s="93"/>
      <c r="AH1493" s="93"/>
      <c r="AI1493" s="93"/>
      <c r="AJ1493" s="93"/>
    </row>
    <row r="1494" spans="30:36" ht="18">
      <c r="AD1494" s="93"/>
      <c r="AE1494" s="214"/>
      <c r="AF1494" s="93"/>
      <c r="AG1494" s="93"/>
      <c r="AH1494" s="93"/>
      <c r="AI1494" s="93"/>
      <c r="AJ1494" s="93"/>
    </row>
    <row r="1495" spans="30:36" ht="18">
      <c r="AD1495" s="93"/>
      <c r="AE1495" s="215"/>
      <c r="AF1495" s="93"/>
      <c r="AG1495" s="93"/>
      <c r="AH1495" s="93"/>
      <c r="AI1495" s="93"/>
      <c r="AJ1495" s="93"/>
    </row>
    <row r="1496" spans="30:36" ht="18">
      <c r="AD1496" s="93"/>
      <c r="AE1496" s="214"/>
      <c r="AF1496" s="93"/>
      <c r="AG1496" s="93"/>
      <c r="AH1496" s="93"/>
      <c r="AI1496" s="93"/>
      <c r="AJ1496" s="93"/>
    </row>
    <row r="1497" spans="30:36" ht="18">
      <c r="AD1497" s="93"/>
      <c r="AE1497" s="214"/>
      <c r="AF1497" s="93"/>
      <c r="AG1497" s="93"/>
      <c r="AH1497" s="93"/>
      <c r="AI1497" s="93"/>
      <c r="AJ1497" s="93"/>
    </row>
    <row r="1498" spans="30:36" ht="18">
      <c r="AD1498" s="93"/>
      <c r="AE1498" s="214"/>
      <c r="AF1498" s="93"/>
      <c r="AG1498" s="93"/>
      <c r="AH1498" s="93"/>
      <c r="AI1498" s="93"/>
      <c r="AJ1498" s="93"/>
    </row>
    <row r="1499" spans="30:36" ht="18">
      <c r="AD1499" s="93"/>
      <c r="AE1499" s="215"/>
      <c r="AF1499" s="93"/>
      <c r="AG1499" s="93"/>
      <c r="AH1499" s="93"/>
      <c r="AI1499" s="93"/>
      <c r="AJ1499" s="93"/>
    </row>
    <row r="1500" spans="30:36" ht="18">
      <c r="AD1500" s="93"/>
      <c r="AE1500" s="215"/>
      <c r="AF1500" s="93"/>
      <c r="AG1500" s="93"/>
      <c r="AH1500" s="93"/>
      <c r="AI1500" s="93"/>
      <c r="AJ1500" s="93"/>
    </row>
    <row r="1501" spans="30:36" ht="18">
      <c r="AD1501" s="93"/>
      <c r="AE1501" s="214"/>
      <c r="AF1501" s="93"/>
      <c r="AG1501" s="93"/>
      <c r="AH1501" s="93"/>
      <c r="AI1501" s="93"/>
      <c r="AJ1501" s="93"/>
    </row>
    <row r="1502" spans="30:36" ht="18">
      <c r="AD1502" s="93"/>
      <c r="AE1502" s="214"/>
      <c r="AF1502" s="93"/>
      <c r="AG1502" s="93"/>
      <c r="AH1502" s="93"/>
      <c r="AI1502" s="93"/>
      <c r="AJ1502" s="93"/>
    </row>
    <row r="1503" spans="30:36" ht="18">
      <c r="AD1503" s="93"/>
      <c r="AE1503" s="214"/>
      <c r="AF1503" s="93"/>
      <c r="AG1503" s="93"/>
      <c r="AH1503" s="93"/>
      <c r="AI1503" s="93"/>
      <c r="AJ1503" s="93"/>
    </row>
    <row r="1504" spans="30:36" ht="18">
      <c r="AD1504" s="93"/>
      <c r="AE1504" s="214"/>
      <c r="AF1504" s="93"/>
      <c r="AG1504" s="93"/>
      <c r="AH1504" s="93"/>
      <c r="AI1504" s="93"/>
      <c r="AJ1504" s="93"/>
    </row>
    <row r="1505" spans="30:36" ht="18">
      <c r="AD1505" s="93"/>
      <c r="AE1505" s="214"/>
      <c r="AF1505" s="93"/>
      <c r="AG1505" s="93"/>
      <c r="AH1505" s="93"/>
      <c r="AI1505" s="93"/>
      <c r="AJ1505" s="93"/>
    </row>
    <row r="1506" spans="30:36" ht="18">
      <c r="AD1506" s="93"/>
      <c r="AE1506" s="214"/>
      <c r="AF1506" s="93"/>
      <c r="AG1506" s="93"/>
      <c r="AH1506" s="93"/>
      <c r="AI1506" s="93"/>
      <c r="AJ1506" s="93"/>
    </row>
    <row r="1507" spans="30:36" ht="18">
      <c r="AD1507" s="93"/>
      <c r="AE1507" s="214"/>
      <c r="AF1507" s="93"/>
      <c r="AG1507" s="93"/>
      <c r="AH1507" s="93"/>
      <c r="AI1507" s="93"/>
      <c r="AJ1507" s="93"/>
    </row>
    <row r="1508" spans="30:36" ht="18">
      <c r="AD1508" s="93"/>
      <c r="AE1508" s="214"/>
      <c r="AF1508" s="93"/>
      <c r="AG1508" s="93"/>
      <c r="AH1508" s="93"/>
      <c r="AI1508" s="93"/>
      <c r="AJ1508" s="93"/>
    </row>
    <row r="1509" spans="30:36" ht="18">
      <c r="AD1509" s="93"/>
      <c r="AE1509" s="214"/>
      <c r="AF1509" s="93"/>
      <c r="AG1509" s="93"/>
      <c r="AH1509" s="93"/>
      <c r="AI1509" s="93"/>
      <c r="AJ1509" s="93"/>
    </row>
    <row r="1510" spans="30:36" ht="18">
      <c r="AD1510" s="93"/>
      <c r="AE1510" s="214"/>
      <c r="AF1510" s="93"/>
      <c r="AG1510" s="93"/>
      <c r="AH1510" s="93"/>
      <c r="AI1510" s="93"/>
      <c r="AJ1510" s="93"/>
    </row>
    <row r="1511" spans="30:36" ht="18">
      <c r="AD1511" s="93"/>
      <c r="AE1511" s="214"/>
      <c r="AF1511" s="93"/>
      <c r="AG1511" s="93"/>
      <c r="AH1511" s="93"/>
      <c r="AI1511" s="93"/>
      <c r="AJ1511" s="93"/>
    </row>
    <row r="1512" spans="30:36" ht="18">
      <c r="AD1512" s="93"/>
      <c r="AE1512" s="214"/>
      <c r="AF1512" s="93"/>
      <c r="AG1512" s="93"/>
      <c r="AH1512" s="93"/>
      <c r="AI1512" s="93"/>
      <c r="AJ1512" s="93"/>
    </row>
    <row r="1513" spans="30:36" ht="18">
      <c r="AD1513" s="93"/>
      <c r="AE1513" s="214"/>
      <c r="AF1513" s="93"/>
      <c r="AG1513" s="93"/>
      <c r="AH1513" s="93"/>
      <c r="AI1513" s="93"/>
      <c r="AJ1513" s="93"/>
    </row>
    <row r="1514" spans="30:36" ht="18">
      <c r="AD1514" s="93"/>
      <c r="AE1514" s="214"/>
      <c r="AF1514" s="93"/>
      <c r="AG1514" s="93"/>
      <c r="AH1514" s="93"/>
      <c r="AI1514" s="93"/>
      <c r="AJ1514" s="93"/>
    </row>
    <row r="1515" spans="30:36" ht="18">
      <c r="AD1515" s="93"/>
      <c r="AE1515" s="214"/>
      <c r="AF1515" s="93"/>
      <c r="AG1515" s="93"/>
      <c r="AH1515" s="93"/>
      <c r="AI1515" s="93"/>
      <c r="AJ1515" s="93"/>
    </row>
    <row r="1516" spans="30:36" ht="18">
      <c r="AD1516" s="93"/>
      <c r="AE1516" s="214"/>
      <c r="AF1516" s="93"/>
      <c r="AG1516" s="93"/>
      <c r="AH1516" s="93"/>
      <c r="AI1516" s="93"/>
      <c r="AJ1516" s="93"/>
    </row>
    <row r="1517" spans="30:36" ht="18">
      <c r="AD1517" s="93"/>
      <c r="AE1517" s="214"/>
      <c r="AF1517" s="93"/>
      <c r="AG1517" s="93"/>
      <c r="AH1517" s="93"/>
      <c r="AI1517" s="93"/>
      <c r="AJ1517" s="93"/>
    </row>
    <row r="1518" spans="30:36" ht="18">
      <c r="AD1518" s="93"/>
      <c r="AE1518" s="215"/>
      <c r="AF1518" s="93"/>
      <c r="AG1518" s="93"/>
      <c r="AH1518" s="93"/>
      <c r="AI1518" s="93"/>
      <c r="AJ1518" s="93"/>
    </row>
    <row r="1519" spans="30:36" ht="18">
      <c r="AD1519" s="93"/>
      <c r="AE1519" s="214"/>
      <c r="AF1519" s="93"/>
      <c r="AG1519" s="93"/>
      <c r="AH1519" s="93"/>
      <c r="AI1519" s="93"/>
      <c r="AJ1519" s="93"/>
    </row>
    <row r="1520" spans="30:36" ht="18">
      <c r="AD1520" s="93"/>
      <c r="AE1520" s="214"/>
      <c r="AF1520" s="93"/>
      <c r="AG1520" s="93"/>
      <c r="AH1520" s="93"/>
      <c r="AI1520" s="93"/>
      <c r="AJ1520" s="93"/>
    </row>
    <row r="1521" spans="30:36" ht="18">
      <c r="AD1521" s="93"/>
      <c r="AE1521" s="214"/>
      <c r="AF1521" s="93"/>
      <c r="AG1521" s="93"/>
      <c r="AH1521" s="93"/>
      <c r="AI1521" s="93"/>
      <c r="AJ1521" s="93"/>
    </row>
    <row r="1522" spans="30:36" ht="18">
      <c r="AD1522" s="93"/>
      <c r="AE1522" s="214"/>
      <c r="AF1522" s="93"/>
      <c r="AG1522" s="93"/>
      <c r="AH1522" s="93"/>
      <c r="AI1522" s="93"/>
      <c r="AJ1522" s="93"/>
    </row>
    <row r="1523" spans="30:36" ht="18">
      <c r="AD1523" s="93"/>
      <c r="AE1523" s="215"/>
      <c r="AF1523" s="93"/>
      <c r="AG1523" s="93"/>
      <c r="AH1523" s="93"/>
      <c r="AI1523" s="93"/>
      <c r="AJ1523" s="93"/>
    </row>
    <row r="1524" spans="30:36" ht="18">
      <c r="AD1524" s="93"/>
      <c r="AE1524" s="215"/>
      <c r="AF1524" s="93"/>
      <c r="AG1524" s="93"/>
      <c r="AH1524" s="93"/>
      <c r="AI1524" s="93"/>
      <c r="AJ1524" s="93"/>
    </row>
    <row r="1525" spans="30:36" ht="18">
      <c r="AD1525" s="93"/>
      <c r="AE1525" s="214"/>
      <c r="AF1525" s="93"/>
      <c r="AG1525" s="93"/>
      <c r="AH1525" s="93"/>
      <c r="AI1525" s="93"/>
      <c r="AJ1525" s="93"/>
    </row>
    <row r="1526" spans="30:36" ht="18">
      <c r="AD1526" s="93"/>
      <c r="AE1526" s="214"/>
      <c r="AF1526" s="93"/>
      <c r="AG1526" s="93"/>
      <c r="AH1526" s="93"/>
      <c r="AI1526" s="93"/>
      <c r="AJ1526" s="93"/>
    </row>
    <row r="1527" spans="30:36" ht="18">
      <c r="AD1527" s="93"/>
      <c r="AE1527" s="214"/>
      <c r="AF1527" s="93"/>
      <c r="AG1527" s="93"/>
      <c r="AH1527" s="93"/>
      <c r="AI1527" s="93"/>
      <c r="AJ1527" s="93"/>
    </row>
    <row r="1528" spans="30:36" ht="18">
      <c r="AD1528" s="93"/>
      <c r="AE1528" s="214"/>
      <c r="AF1528" s="93"/>
      <c r="AG1528" s="93"/>
      <c r="AH1528" s="93"/>
      <c r="AI1528" s="93"/>
      <c r="AJ1528" s="93"/>
    </row>
    <row r="1529" spans="30:36" ht="18">
      <c r="AD1529" s="93"/>
      <c r="AE1529" s="214"/>
      <c r="AF1529" s="93"/>
      <c r="AG1529" s="93"/>
      <c r="AH1529" s="93"/>
      <c r="AI1529" s="93"/>
      <c r="AJ1529" s="93"/>
    </row>
    <row r="1530" spans="30:36" ht="18">
      <c r="AD1530" s="93"/>
      <c r="AE1530" s="214"/>
      <c r="AF1530" s="93"/>
      <c r="AG1530" s="93"/>
      <c r="AH1530" s="93"/>
      <c r="AI1530" s="93"/>
      <c r="AJ1530" s="93"/>
    </row>
    <row r="1531" spans="30:36" ht="18">
      <c r="AD1531" s="93"/>
      <c r="AE1531" s="214"/>
      <c r="AF1531" s="93"/>
      <c r="AG1531" s="93"/>
      <c r="AH1531" s="93"/>
      <c r="AI1531" s="93"/>
      <c r="AJ1531" s="93"/>
    </row>
    <row r="1532" spans="30:36" ht="18">
      <c r="AD1532" s="93"/>
      <c r="AE1532" s="214"/>
      <c r="AF1532" s="93"/>
      <c r="AG1532" s="93"/>
      <c r="AH1532" s="93"/>
      <c r="AI1532" s="93"/>
      <c r="AJ1532" s="93"/>
    </row>
    <row r="1533" spans="30:36" ht="18">
      <c r="AD1533" s="93"/>
      <c r="AE1533" s="215"/>
      <c r="AF1533" s="93"/>
      <c r="AG1533" s="93"/>
      <c r="AH1533" s="93"/>
      <c r="AI1533" s="93"/>
      <c r="AJ1533" s="93"/>
    </row>
    <row r="1534" spans="30:36" ht="18">
      <c r="AD1534" s="93"/>
      <c r="AE1534" s="214"/>
      <c r="AF1534" s="93"/>
      <c r="AG1534" s="93"/>
      <c r="AH1534" s="93"/>
      <c r="AI1534" s="93"/>
      <c r="AJ1534" s="93"/>
    </row>
    <row r="1535" spans="30:36" ht="18">
      <c r="AD1535" s="93"/>
      <c r="AE1535" s="214"/>
      <c r="AF1535" s="93"/>
      <c r="AG1535" s="93"/>
      <c r="AH1535" s="93"/>
      <c r="AI1535" s="93"/>
      <c r="AJ1535" s="93"/>
    </row>
    <row r="1536" spans="30:36" ht="18">
      <c r="AD1536" s="93"/>
      <c r="AE1536" s="214"/>
      <c r="AF1536" s="93"/>
      <c r="AG1536" s="93"/>
      <c r="AH1536" s="93"/>
      <c r="AI1536" s="93"/>
      <c r="AJ1536" s="93"/>
    </row>
    <row r="1537" spans="30:36" ht="18">
      <c r="AD1537" s="93"/>
      <c r="AE1537" s="214"/>
      <c r="AF1537" s="93"/>
      <c r="AG1537" s="93"/>
      <c r="AH1537" s="93"/>
      <c r="AI1537" s="93"/>
      <c r="AJ1537" s="93"/>
    </row>
    <row r="1538" spans="30:36" ht="18">
      <c r="AD1538" s="93"/>
      <c r="AE1538" s="214"/>
      <c r="AF1538" s="93"/>
      <c r="AG1538" s="93"/>
      <c r="AH1538" s="93"/>
      <c r="AI1538" s="93"/>
      <c r="AJ1538" s="93"/>
    </row>
    <row r="1539" spans="30:36" ht="18">
      <c r="AD1539" s="93"/>
      <c r="AE1539" s="214"/>
      <c r="AF1539" s="93"/>
      <c r="AG1539" s="93"/>
      <c r="AH1539" s="93"/>
      <c r="AI1539" s="93"/>
      <c r="AJ1539" s="93"/>
    </row>
    <row r="1540" spans="30:36" ht="18">
      <c r="AD1540" s="93"/>
      <c r="AE1540" s="214"/>
      <c r="AF1540" s="93"/>
      <c r="AG1540" s="93"/>
      <c r="AH1540" s="93"/>
      <c r="AI1540" s="93"/>
      <c r="AJ1540" s="93"/>
    </row>
    <row r="1541" spans="30:36" ht="18">
      <c r="AD1541" s="93"/>
      <c r="AE1541" s="214"/>
      <c r="AF1541" s="93"/>
      <c r="AG1541" s="93"/>
      <c r="AH1541" s="93"/>
      <c r="AI1541" s="93"/>
      <c r="AJ1541" s="93"/>
    </row>
    <row r="1542" spans="30:36" ht="18">
      <c r="AD1542" s="93"/>
      <c r="AE1542" s="214"/>
      <c r="AF1542" s="93"/>
      <c r="AG1542" s="93"/>
      <c r="AH1542" s="93"/>
      <c r="AI1542" s="93"/>
      <c r="AJ1542" s="93"/>
    </row>
    <row r="1543" spans="30:36" ht="18">
      <c r="AD1543" s="93"/>
      <c r="AE1543" s="214"/>
      <c r="AF1543" s="93"/>
      <c r="AG1543" s="93"/>
      <c r="AH1543" s="93"/>
      <c r="AI1543" s="93"/>
      <c r="AJ1543" s="93"/>
    </row>
    <row r="1544" spans="30:36" ht="18">
      <c r="AD1544" s="93"/>
      <c r="AE1544" s="214"/>
      <c r="AF1544" s="93"/>
      <c r="AG1544" s="93"/>
      <c r="AH1544" s="93"/>
      <c r="AI1544" s="93"/>
      <c r="AJ1544" s="93"/>
    </row>
    <row r="1545" spans="30:36" ht="18">
      <c r="AD1545" s="93"/>
      <c r="AE1545" s="215"/>
      <c r="AF1545" s="93"/>
      <c r="AG1545" s="93"/>
      <c r="AH1545" s="93"/>
      <c r="AI1545" s="93"/>
      <c r="AJ1545" s="93"/>
    </row>
    <row r="1546" spans="30:36" ht="18">
      <c r="AD1546" s="93"/>
      <c r="AE1546" s="215"/>
      <c r="AF1546" s="93"/>
      <c r="AG1546" s="93"/>
      <c r="AH1546" s="93"/>
      <c r="AI1546" s="93"/>
      <c r="AJ1546" s="93"/>
    </row>
    <row r="1547" spans="30:36" ht="18">
      <c r="AD1547" s="93"/>
      <c r="AE1547" s="214"/>
      <c r="AF1547" s="93"/>
      <c r="AG1547" s="93"/>
      <c r="AH1547" s="93"/>
      <c r="AI1547" s="93"/>
      <c r="AJ1547" s="93"/>
    </row>
    <row r="1548" spans="30:36" ht="18">
      <c r="AD1548" s="93"/>
      <c r="AE1548" s="214"/>
      <c r="AF1548" s="93"/>
      <c r="AG1548" s="93"/>
      <c r="AH1548" s="93"/>
      <c r="AI1548" s="93"/>
      <c r="AJ1548" s="93"/>
    </row>
    <row r="1549" spans="30:36" ht="18">
      <c r="AD1549" s="93"/>
      <c r="AE1549" s="214"/>
      <c r="AF1549" s="93"/>
      <c r="AG1549" s="93"/>
      <c r="AH1549" s="93"/>
      <c r="AI1549" s="93"/>
      <c r="AJ1549" s="93"/>
    </row>
    <row r="1550" spans="30:36" ht="18">
      <c r="AD1550" s="93"/>
      <c r="AE1550" s="215"/>
      <c r="AF1550" s="93"/>
      <c r="AG1550" s="93"/>
      <c r="AH1550" s="93"/>
      <c r="AI1550" s="93"/>
      <c r="AJ1550" s="93"/>
    </row>
    <row r="1551" spans="30:36" ht="18">
      <c r="AD1551" s="93"/>
      <c r="AE1551" s="215"/>
      <c r="AF1551" s="93"/>
      <c r="AG1551" s="93"/>
      <c r="AH1551" s="93"/>
      <c r="AI1551" s="93"/>
      <c r="AJ1551" s="93"/>
    </row>
    <row r="1552" spans="30:36" ht="18">
      <c r="AD1552" s="93"/>
      <c r="AE1552" s="214"/>
      <c r="AF1552" s="93"/>
      <c r="AG1552" s="93"/>
      <c r="AH1552" s="93"/>
      <c r="AI1552" s="93"/>
      <c r="AJ1552" s="93"/>
    </row>
    <row r="1553" spans="30:36" ht="18">
      <c r="AD1553" s="93"/>
      <c r="AE1553" s="214"/>
      <c r="AF1553" s="93"/>
      <c r="AG1553" s="93"/>
      <c r="AH1553" s="93"/>
      <c r="AI1553" s="93"/>
      <c r="AJ1553" s="93"/>
    </row>
    <row r="1554" spans="30:36" ht="18">
      <c r="AD1554" s="93"/>
      <c r="AE1554" s="214"/>
      <c r="AF1554" s="93"/>
      <c r="AG1554" s="93"/>
      <c r="AH1554" s="93"/>
      <c r="AI1554" s="93"/>
      <c r="AJ1554" s="93"/>
    </row>
    <row r="1555" spans="30:36" ht="18">
      <c r="AD1555" s="93"/>
      <c r="AE1555" s="214"/>
      <c r="AF1555" s="93"/>
      <c r="AG1555" s="93"/>
      <c r="AH1555" s="93"/>
      <c r="AI1555" s="93"/>
      <c r="AJ1555" s="93"/>
    </row>
    <row r="1556" spans="30:36" ht="18">
      <c r="AD1556" s="93"/>
      <c r="AE1556" s="214"/>
      <c r="AF1556" s="93"/>
      <c r="AG1556" s="93"/>
      <c r="AH1556" s="93"/>
      <c r="AI1556" s="93"/>
      <c r="AJ1556" s="93"/>
    </row>
    <row r="1557" spans="30:36" ht="18">
      <c r="AD1557" s="93"/>
      <c r="AE1557" s="214"/>
      <c r="AF1557" s="93"/>
      <c r="AG1557" s="93"/>
      <c r="AH1557" s="93"/>
      <c r="AI1557" s="93"/>
      <c r="AJ1557" s="93"/>
    </row>
    <row r="1558" spans="30:36" ht="18">
      <c r="AD1558" s="93"/>
      <c r="AE1558" s="215"/>
      <c r="AF1558" s="93"/>
      <c r="AG1558" s="93"/>
      <c r="AH1558" s="93"/>
      <c r="AI1558" s="93"/>
      <c r="AJ1558" s="93"/>
    </row>
    <row r="1559" spans="30:36" ht="18">
      <c r="AD1559" s="93"/>
      <c r="AE1559" s="215"/>
      <c r="AF1559" s="93"/>
      <c r="AG1559" s="93"/>
      <c r="AH1559" s="93"/>
      <c r="AI1559" s="93"/>
      <c r="AJ1559" s="93"/>
    </row>
    <row r="1560" spans="30:36" ht="18">
      <c r="AD1560" s="93"/>
      <c r="AE1560" s="214"/>
      <c r="AF1560" s="93"/>
      <c r="AG1560" s="93"/>
      <c r="AH1560" s="93"/>
      <c r="AI1560" s="93"/>
      <c r="AJ1560" s="93"/>
    </row>
    <row r="1561" spans="30:36" ht="18">
      <c r="AD1561" s="93"/>
      <c r="AE1561" s="214"/>
      <c r="AF1561" s="93"/>
      <c r="AG1561" s="93"/>
      <c r="AH1561" s="93"/>
      <c r="AI1561" s="93"/>
      <c r="AJ1561" s="93"/>
    </row>
    <row r="1562" spans="30:36" ht="18">
      <c r="AD1562" s="93"/>
      <c r="AE1562" s="214"/>
      <c r="AF1562" s="93"/>
      <c r="AG1562" s="93"/>
      <c r="AH1562" s="93"/>
      <c r="AI1562" s="93"/>
      <c r="AJ1562" s="93"/>
    </row>
    <row r="1563" spans="30:36" ht="18">
      <c r="AD1563" s="93"/>
      <c r="AE1563" s="214"/>
      <c r="AF1563" s="93"/>
      <c r="AG1563" s="93"/>
      <c r="AH1563" s="93"/>
      <c r="AI1563" s="93"/>
      <c r="AJ1563" s="93"/>
    </row>
    <row r="1564" spans="30:36" ht="18">
      <c r="AD1564" s="93"/>
      <c r="AE1564" s="214"/>
      <c r="AF1564" s="93"/>
      <c r="AG1564" s="93"/>
      <c r="AH1564" s="93"/>
      <c r="AI1564" s="93"/>
      <c r="AJ1564" s="93"/>
    </row>
    <row r="1565" spans="30:36" ht="18">
      <c r="AD1565" s="93"/>
      <c r="AE1565" s="214"/>
      <c r="AF1565" s="93"/>
      <c r="AG1565" s="93"/>
      <c r="AH1565" s="93"/>
      <c r="AI1565" s="93"/>
      <c r="AJ1565" s="93"/>
    </row>
    <row r="1566" spans="30:36" ht="18">
      <c r="AD1566" s="93"/>
      <c r="AE1566" s="214"/>
      <c r="AF1566" s="93"/>
      <c r="AG1566" s="93"/>
      <c r="AH1566" s="93"/>
      <c r="AI1566" s="93"/>
      <c r="AJ1566" s="93"/>
    </row>
    <row r="1567" spans="30:36" ht="18">
      <c r="AD1567" s="93"/>
      <c r="AE1567" s="215"/>
      <c r="AF1567" s="93"/>
      <c r="AG1567" s="93"/>
      <c r="AH1567" s="93"/>
      <c r="AI1567" s="93"/>
      <c r="AJ1567" s="93"/>
    </row>
    <row r="1568" spans="30:36" ht="18">
      <c r="AD1568" s="93"/>
      <c r="AE1568" s="215"/>
      <c r="AF1568" s="93"/>
      <c r="AG1568" s="93"/>
      <c r="AH1568" s="93"/>
      <c r="AI1568" s="93"/>
      <c r="AJ1568" s="93"/>
    </row>
    <row r="1569" spans="30:36" ht="18">
      <c r="AD1569" s="93"/>
      <c r="AE1569" s="214"/>
      <c r="AF1569" s="93"/>
      <c r="AG1569" s="93"/>
      <c r="AH1569" s="93"/>
      <c r="AI1569" s="93"/>
      <c r="AJ1569" s="93"/>
    </row>
    <row r="1570" spans="30:36" ht="18">
      <c r="AD1570" s="93"/>
      <c r="AE1570" s="214"/>
      <c r="AF1570" s="93"/>
      <c r="AG1570" s="93"/>
      <c r="AH1570" s="93"/>
      <c r="AI1570" s="93"/>
      <c r="AJ1570" s="93"/>
    </row>
    <row r="1571" spans="30:36" ht="18">
      <c r="AD1571" s="93"/>
      <c r="AE1571" s="214"/>
      <c r="AF1571" s="93"/>
      <c r="AG1571" s="93"/>
      <c r="AH1571" s="93"/>
      <c r="AI1571" s="93"/>
      <c r="AJ1571" s="93"/>
    </row>
    <row r="1572" spans="30:36" ht="18">
      <c r="AD1572" s="93"/>
      <c r="AE1572" s="214"/>
      <c r="AF1572" s="93"/>
      <c r="AG1572" s="93"/>
      <c r="AH1572" s="93"/>
      <c r="AI1572" s="93"/>
      <c r="AJ1572" s="93"/>
    </row>
    <row r="1573" spans="30:36" ht="18">
      <c r="AD1573" s="93"/>
      <c r="AE1573" s="214"/>
      <c r="AF1573" s="93"/>
      <c r="AG1573" s="93"/>
      <c r="AH1573" s="93"/>
      <c r="AI1573" s="93"/>
      <c r="AJ1573" s="93"/>
    </row>
    <row r="1574" spans="30:36" ht="18">
      <c r="AD1574" s="93"/>
      <c r="AE1574" s="214"/>
      <c r="AF1574" s="93"/>
      <c r="AG1574" s="93"/>
      <c r="AH1574" s="93"/>
      <c r="AI1574" s="93"/>
      <c r="AJ1574" s="93"/>
    </row>
    <row r="1575" spans="30:36" ht="18">
      <c r="AD1575" s="93"/>
      <c r="AE1575" s="214"/>
      <c r="AF1575" s="93"/>
      <c r="AG1575" s="93"/>
      <c r="AH1575" s="93"/>
      <c r="AI1575" s="93"/>
      <c r="AJ1575" s="93"/>
    </row>
    <row r="1576" spans="30:36" ht="18">
      <c r="AD1576" s="93"/>
      <c r="AE1576" s="214"/>
      <c r="AF1576" s="93"/>
      <c r="AG1576" s="93"/>
      <c r="AH1576" s="93"/>
      <c r="AI1576" s="93"/>
      <c r="AJ1576" s="93"/>
    </row>
    <row r="1577" spans="30:36" ht="18">
      <c r="AD1577" s="93"/>
      <c r="AE1577" s="214"/>
      <c r="AF1577" s="93"/>
      <c r="AG1577" s="93"/>
      <c r="AH1577" s="93"/>
      <c r="AI1577" s="93"/>
      <c r="AJ1577" s="93"/>
    </row>
    <row r="1578" spans="30:36" ht="18">
      <c r="AD1578" s="93"/>
      <c r="AE1578" s="214"/>
      <c r="AF1578" s="93"/>
      <c r="AG1578" s="93"/>
      <c r="AH1578" s="93"/>
      <c r="AI1578" s="93"/>
      <c r="AJ1578" s="93"/>
    </row>
    <row r="1579" spans="30:36" ht="18">
      <c r="AD1579" s="93"/>
      <c r="AE1579" s="214"/>
      <c r="AF1579" s="93"/>
      <c r="AG1579" s="93"/>
      <c r="AH1579" s="93"/>
      <c r="AI1579" s="93"/>
      <c r="AJ1579" s="93"/>
    </row>
    <row r="1580" spans="30:36" ht="18">
      <c r="AD1580" s="93"/>
      <c r="AE1580" s="214"/>
      <c r="AF1580" s="93"/>
      <c r="AG1580" s="93"/>
      <c r="AH1580" s="93"/>
      <c r="AI1580" s="93"/>
      <c r="AJ1580" s="93"/>
    </row>
    <row r="1581" spans="30:36" ht="18">
      <c r="AD1581" s="93"/>
      <c r="AE1581" s="215"/>
      <c r="AF1581" s="93"/>
      <c r="AG1581" s="93"/>
      <c r="AH1581" s="93"/>
      <c r="AI1581" s="93"/>
      <c r="AJ1581" s="93"/>
    </row>
    <row r="1582" spans="30:36" ht="18">
      <c r="AD1582" s="93"/>
      <c r="AE1582" s="214"/>
      <c r="AF1582" s="93"/>
      <c r="AG1582" s="93"/>
      <c r="AH1582" s="93"/>
      <c r="AI1582" s="93"/>
      <c r="AJ1582" s="93"/>
    </row>
    <row r="1583" spans="30:36" ht="18">
      <c r="AD1583" s="93"/>
      <c r="AE1583" s="214"/>
      <c r="AF1583" s="93"/>
      <c r="AG1583" s="93"/>
      <c r="AH1583" s="93"/>
      <c r="AI1583" s="93"/>
      <c r="AJ1583" s="93"/>
    </row>
    <row r="1584" spans="30:36" ht="18">
      <c r="AD1584" s="93"/>
      <c r="AE1584" s="214"/>
      <c r="AF1584" s="93"/>
      <c r="AG1584" s="93"/>
      <c r="AH1584" s="93"/>
      <c r="AI1584" s="93"/>
      <c r="AJ1584" s="93"/>
    </row>
    <row r="1585" spans="30:36" ht="18">
      <c r="AD1585" s="93"/>
      <c r="AE1585" s="214"/>
      <c r="AF1585" s="93"/>
      <c r="AG1585" s="93"/>
      <c r="AH1585" s="93"/>
      <c r="AI1585" s="93"/>
      <c r="AJ1585" s="93"/>
    </row>
    <row r="1586" spans="30:36" ht="18">
      <c r="AD1586" s="93"/>
      <c r="AE1586" s="214"/>
      <c r="AF1586" s="93"/>
      <c r="AG1586" s="93"/>
      <c r="AH1586" s="93"/>
      <c r="AI1586" s="93"/>
      <c r="AJ1586" s="93"/>
    </row>
    <row r="1587" spans="30:36" ht="18">
      <c r="AD1587" s="93"/>
      <c r="AE1587" s="214"/>
      <c r="AF1587" s="93"/>
      <c r="AG1587" s="93"/>
      <c r="AH1587" s="93"/>
      <c r="AI1587" s="93"/>
      <c r="AJ1587" s="93"/>
    </row>
    <row r="1588" spans="30:36" ht="18">
      <c r="AD1588" s="93"/>
      <c r="AE1588" s="214"/>
      <c r="AF1588" s="93"/>
      <c r="AG1588" s="93"/>
      <c r="AH1588" s="93"/>
      <c r="AI1588" s="93"/>
      <c r="AJ1588" s="93"/>
    </row>
    <row r="1589" spans="30:36" ht="18">
      <c r="AD1589" s="93"/>
      <c r="AE1589" s="214"/>
      <c r="AF1589" s="93"/>
      <c r="AG1589" s="93"/>
      <c r="AH1589" s="93"/>
      <c r="AI1589" s="93"/>
      <c r="AJ1589" s="93"/>
    </row>
    <row r="1590" spans="30:36" ht="18">
      <c r="AD1590" s="93"/>
      <c r="AE1590" s="214"/>
      <c r="AF1590" s="93"/>
      <c r="AG1590" s="93"/>
      <c r="AH1590" s="93"/>
      <c r="AI1590" s="93"/>
      <c r="AJ1590" s="93"/>
    </row>
    <row r="1591" spans="30:36" ht="18">
      <c r="AD1591" s="93"/>
      <c r="AE1591" s="214"/>
      <c r="AF1591" s="93"/>
      <c r="AG1591" s="93"/>
      <c r="AH1591" s="93"/>
      <c r="AI1591" s="93"/>
      <c r="AJ1591" s="93"/>
    </row>
    <row r="1592" spans="30:36" ht="18">
      <c r="AD1592" s="93"/>
      <c r="AE1592" s="214"/>
      <c r="AF1592" s="93"/>
      <c r="AG1592" s="93"/>
      <c r="AH1592" s="93"/>
      <c r="AI1592" s="93"/>
      <c r="AJ1592" s="93"/>
    </row>
    <row r="1593" spans="30:36" ht="18">
      <c r="AD1593" s="93"/>
      <c r="AE1593" s="214"/>
      <c r="AF1593" s="93"/>
      <c r="AG1593" s="93"/>
      <c r="AH1593" s="93"/>
      <c r="AI1593" s="93"/>
      <c r="AJ1593" s="93"/>
    </row>
    <row r="1594" spans="30:36" ht="18">
      <c r="AD1594" s="93"/>
      <c r="AE1594" s="214"/>
      <c r="AF1594" s="93"/>
      <c r="AG1594" s="93"/>
      <c r="AH1594" s="93"/>
      <c r="AI1594" s="93"/>
      <c r="AJ1594" s="93"/>
    </row>
    <row r="1595" spans="30:36" ht="18">
      <c r="AD1595" s="93"/>
      <c r="AE1595" s="214"/>
      <c r="AF1595" s="93"/>
      <c r="AG1595" s="93"/>
      <c r="AH1595" s="93"/>
      <c r="AI1595" s="93"/>
      <c r="AJ1595" s="93"/>
    </row>
    <row r="1596" spans="30:36" ht="18">
      <c r="AD1596" s="93"/>
      <c r="AE1596" s="214"/>
      <c r="AF1596" s="93"/>
      <c r="AG1596" s="93"/>
      <c r="AH1596" s="93"/>
      <c r="AI1596" s="93"/>
      <c r="AJ1596" s="93"/>
    </row>
    <row r="1597" spans="30:36" ht="18">
      <c r="AD1597" s="93"/>
      <c r="AE1597" s="214"/>
      <c r="AF1597" s="93"/>
      <c r="AG1597" s="93"/>
      <c r="AH1597" s="93"/>
      <c r="AI1597" s="93"/>
      <c r="AJ1597" s="93"/>
    </row>
    <row r="1598" spans="30:36" ht="18">
      <c r="AD1598" s="93"/>
      <c r="AE1598" s="214"/>
      <c r="AF1598" s="93"/>
      <c r="AG1598" s="93"/>
      <c r="AH1598" s="93"/>
      <c r="AI1598" s="93"/>
      <c r="AJ1598" s="93"/>
    </row>
    <row r="1599" spans="30:36" ht="18">
      <c r="AD1599" s="93"/>
      <c r="AE1599" s="214"/>
      <c r="AF1599" s="93"/>
      <c r="AG1599" s="93"/>
      <c r="AH1599" s="93"/>
      <c r="AI1599" s="93"/>
      <c r="AJ1599" s="93"/>
    </row>
    <row r="1600" spans="30:36" ht="18">
      <c r="AD1600" s="93"/>
      <c r="AE1600" s="214"/>
      <c r="AF1600" s="93"/>
      <c r="AG1600" s="93"/>
      <c r="AH1600" s="93"/>
      <c r="AI1600" s="93"/>
      <c r="AJ1600" s="93"/>
    </row>
    <row r="1601" spans="30:36" ht="18">
      <c r="AD1601" s="93"/>
      <c r="AE1601" s="214"/>
      <c r="AF1601" s="93"/>
      <c r="AG1601" s="93"/>
      <c r="AH1601" s="93"/>
      <c r="AI1601" s="93"/>
      <c r="AJ1601" s="93"/>
    </row>
    <row r="1602" spans="30:36" ht="18">
      <c r="AD1602" s="93"/>
      <c r="AE1602" s="214"/>
      <c r="AF1602" s="93"/>
      <c r="AG1602" s="93"/>
      <c r="AH1602" s="93"/>
      <c r="AI1602" s="93"/>
      <c r="AJ1602" s="93"/>
    </row>
    <row r="1603" spans="30:36" ht="18">
      <c r="AD1603" s="93"/>
      <c r="AE1603" s="214"/>
      <c r="AF1603" s="93"/>
      <c r="AG1603" s="93"/>
      <c r="AH1603" s="93"/>
      <c r="AI1603" s="93"/>
      <c r="AJ1603" s="93"/>
    </row>
    <row r="1604" spans="30:36" ht="18">
      <c r="AD1604" s="93"/>
      <c r="AE1604" s="214"/>
      <c r="AF1604" s="93"/>
      <c r="AG1604" s="93"/>
      <c r="AH1604" s="93"/>
      <c r="AI1604" s="93"/>
      <c r="AJ1604" s="93"/>
    </row>
    <row r="1605" spans="30:36" ht="18">
      <c r="AD1605" s="93"/>
      <c r="AE1605" s="214"/>
      <c r="AF1605" s="93"/>
      <c r="AG1605" s="93"/>
      <c r="AH1605" s="93"/>
      <c r="AI1605" s="93"/>
      <c r="AJ1605" s="93"/>
    </row>
    <row r="1606" spans="30:36" ht="18">
      <c r="AD1606" s="93"/>
      <c r="AE1606" s="214"/>
      <c r="AF1606" s="93"/>
      <c r="AG1606" s="93"/>
      <c r="AH1606" s="93"/>
      <c r="AI1606" s="93"/>
      <c r="AJ1606" s="93"/>
    </row>
    <row r="1607" spans="30:36" ht="18">
      <c r="AD1607" s="93"/>
      <c r="AE1607" s="214"/>
      <c r="AF1607" s="93"/>
      <c r="AG1607" s="93"/>
      <c r="AH1607" s="93"/>
      <c r="AI1607" s="93"/>
      <c r="AJ1607" s="93"/>
    </row>
    <row r="1608" spans="30:36" ht="18">
      <c r="AD1608" s="93"/>
      <c r="AE1608" s="214"/>
      <c r="AF1608" s="93"/>
      <c r="AG1608" s="93"/>
      <c r="AH1608" s="93"/>
      <c r="AI1608" s="93"/>
      <c r="AJ1608" s="93"/>
    </row>
    <row r="1609" spans="30:36" ht="18">
      <c r="AD1609" s="93"/>
      <c r="AE1609" s="214"/>
      <c r="AF1609" s="93"/>
      <c r="AG1609" s="93"/>
      <c r="AH1609" s="93"/>
      <c r="AI1609" s="93"/>
      <c r="AJ1609" s="93"/>
    </row>
    <row r="1610" spans="30:36" ht="18">
      <c r="AD1610" s="93"/>
      <c r="AE1610" s="214"/>
      <c r="AF1610" s="93"/>
      <c r="AG1610" s="93"/>
      <c r="AH1610" s="93"/>
      <c r="AI1610" s="93"/>
      <c r="AJ1610" s="93"/>
    </row>
    <row r="1611" spans="30:36" ht="18">
      <c r="AD1611" s="93"/>
      <c r="AE1611" s="214"/>
      <c r="AF1611" s="93"/>
      <c r="AG1611" s="93"/>
      <c r="AH1611" s="93"/>
      <c r="AI1611" s="93"/>
      <c r="AJ1611" s="93"/>
    </row>
    <row r="1612" spans="30:36" ht="18">
      <c r="AD1612" s="93"/>
      <c r="AE1612" s="214"/>
      <c r="AF1612" s="93"/>
      <c r="AG1612" s="93"/>
      <c r="AH1612" s="93"/>
      <c r="AI1612" s="93"/>
      <c r="AJ1612" s="93"/>
    </row>
    <row r="1613" spans="30:36" ht="18">
      <c r="AD1613" s="93"/>
      <c r="AE1613" s="214"/>
      <c r="AF1613" s="93"/>
      <c r="AG1613" s="93"/>
      <c r="AH1613" s="93"/>
      <c r="AI1613" s="93"/>
      <c r="AJ1613" s="93"/>
    </row>
    <row r="1614" spans="30:36" ht="18">
      <c r="AD1614" s="93"/>
      <c r="AE1614" s="214"/>
      <c r="AF1614" s="93"/>
      <c r="AG1614" s="93"/>
      <c r="AH1614" s="93"/>
      <c r="AI1614" s="93"/>
      <c r="AJ1614" s="93"/>
    </row>
    <row r="1615" spans="30:36" ht="18">
      <c r="AD1615" s="93"/>
      <c r="AE1615" s="214"/>
      <c r="AF1615" s="93"/>
      <c r="AG1615" s="93"/>
      <c r="AH1615" s="93"/>
      <c r="AI1615" s="93"/>
      <c r="AJ1615" s="93"/>
    </row>
    <row r="1616" spans="30:36" ht="18">
      <c r="AD1616" s="93"/>
      <c r="AE1616" s="214"/>
      <c r="AF1616" s="93"/>
      <c r="AG1616" s="93"/>
      <c r="AH1616" s="93"/>
      <c r="AI1616" s="93"/>
      <c r="AJ1616" s="93"/>
    </row>
    <row r="1617" spans="30:36" ht="18">
      <c r="AD1617" s="93"/>
      <c r="AE1617" s="214"/>
      <c r="AF1617" s="93"/>
      <c r="AG1617" s="93"/>
      <c r="AH1617" s="93"/>
      <c r="AI1617" s="93"/>
      <c r="AJ1617" s="93"/>
    </row>
    <row r="1618" spans="30:36" ht="18">
      <c r="AD1618" s="93"/>
      <c r="AE1618" s="214"/>
      <c r="AF1618" s="93"/>
      <c r="AG1618" s="93"/>
      <c r="AH1618" s="93"/>
      <c r="AI1618" s="93"/>
      <c r="AJ1618" s="93"/>
    </row>
    <row r="1619" spans="30:36" ht="18">
      <c r="AD1619" s="93"/>
      <c r="AE1619" s="214"/>
      <c r="AF1619" s="93"/>
      <c r="AG1619" s="93"/>
      <c r="AH1619" s="93"/>
      <c r="AI1619" s="93"/>
      <c r="AJ1619" s="93"/>
    </row>
    <row r="1620" spans="30:36" ht="18">
      <c r="AD1620" s="93"/>
      <c r="AE1620" s="214"/>
      <c r="AF1620" s="93"/>
      <c r="AG1620" s="93"/>
      <c r="AH1620" s="93"/>
      <c r="AI1620" s="93"/>
      <c r="AJ1620" s="93"/>
    </row>
    <row r="1621" spans="30:36" ht="18">
      <c r="AD1621" s="93"/>
      <c r="AE1621" s="214"/>
      <c r="AF1621" s="93"/>
      <c r="AG1621" s="93"/>
      <c r="AH1621" s="93"/>
      <c r="AI1621" s="93"/>
      <c r="AJ1621" s="93"/>
    </row>
    <row r="1622" spans="30:36" ht="18">
      <c r="AD1622" s="93"/>
      <c r="AE1622" s="214"/>
      <c r="AF1622" s="93"/>
      <c r="AG1622" s="93"/>
      <c r="AH1622" s="93"/>
      <c r="AI1622" s="93"/>
      <c r="AJ1622" s="93"/>
    </row>
    <row r="1623" spans="30:36" ht="18">
      <c r="AD1623" s="93"/>
      <c r="AE1623" s="214"/>
      <c r="AF1623" s="93"/>
      <c r="AG1623" s="93"/>
      <c r="AH1623" s="93"/>
      <c r="AI1623" s="93"/>
      <c r="AJ1623" s="93"/>
    </row>
    <row r="1624" spans="30:36" ht="18">
      <c r="AD1624" s="93"/>
      <c r="AE1624" s="214"/>
      <c r="AF1624" s="93"/>
      <c r="AG1624" s="93"/>
      <c r="AH1624" s="93"/>
      <c r="AI1624" s="93"/>
      <c r="AJ1624" s="93"/>
    </row>
    <row r="1625" spans="30:36" ht="18">
      <c r="AD1625" s="93"/>
      <c r="AE1625" s="214"/>
      <c r="AF1625" s="93"/>
      <c r="AG1625" s="93"/>
      <c r="AH1625" s="93"/>
      <c r="AI1625" s="93"/>
      <c r="AJ1625" s="93"/>
    </row>
    <row r="1626" spans="30:36" ht="18">
      <c r="AD1626" s="93"/>
      <c r="AE1626" s="214"/>
      <c r="AF1626" s="93"/>
      <c r="AG1626" s="93"/>
      <c r="AH1626" s="93"/>
      <c r="AI1626" s="93"/>
      <c r="AJ1626" s="93"/>
    </row>
    <row r="1627" spans="30:36" ht="18">
      <c r="AD1627" s="93"/>
      <c r="AE1627" s="214"/>
      <c r="AF1627" s="93"/>
      <c r="AG1627" s="93"/>
      <c r="AH1627" s="93"/>
      <c r="AI1627" s="93"/>
      <c r="AJ1627" s="93"/>
    </row>
    <row r="1628" spans="30:36" ht="18">
      <c r="AD1628" s="93"/>
      <c r="AE1628" s="214"/>
      <c r="AF1628" s="93"/>
      <c r="AG1628" s="93"/>
      <c r="AH1628" s="93"/>
      <c r="AI1628" s="93"/>
      <c r="AJ1628" s="93"/>
    </row>
    <row r="1629" spans="30:36" ht="18">
      <c r="AD1629" s="93"/>
      <c r="AE1629" s="214"/>
      <c r="AF1629" s="93"/>
      <c r="AG1629" s="93"/>
      <c r="AH1629" s="93"/>
      <c r="AI1629" s="93"/>
      <c r="AJ1629" s="93"/>
    </row>
    <row r="1630" spans="30:36" ht="18">
      <c r="AD1630" s="93"/>
      <c r="AE1630" s="214"/>
      <c r="AF1630" s="93"/>
      <c r="AG1630" s="93"/>
      <c r="AH1630" s="93"/>
      <c r="AI1630" s="93"/>
      <c r="AJ1630" s="93"/>
    </row>
    <row r="1631" spans="30:36" ht="18">
      <c r="AD1631" s="93"/>
      <c r="AE1631" s="214"/>
      <c r="AF1631" s="93"/>
      <c r="AG1631" s="93"/>
      <c r="AH1631" s="93"/>
      <c r="AI1631" s="93"/>
      <c r="AJ1631" s="93"/>
    </row>
    <row r="1632" spans="30:36" ht="18">
      <c r="AD1632" s="93"/>
      <c r="AE1632" s="214"/>
      <c r="AF1632" s="93"/>
      <c r="AG1632" s="93"/>
      <c r="AH1632" s="93"/>
      <c r="AI1632" s="93"/>
      <c r="AJ1632" s="93"/>
    </row>
    <row r="1633" spans="30:36" ht="18">
      <c r="AD1633" s="93"/>
      <c r="AE1633" s="214"/>
      <c r="AF1633" s="93"/>
      <c r="AG1633" s="93"/>
      <c r="AH1633" s="93"/>
      <c r="AI1633" s="93"/>
      <c r="AJ1633" s="93"/>
    </row>
    <row r="1634" spans="30:36" ht="18">
      <c r="AD1634" s="93"/>
      <c r="AE1634" s="214"/>
      <c r="AF1634" s="93"/>
      <c r="AG1634" s="93"/>
      <c r="AH1634" s="93"/>
      <c r="AI1634" s="93"/>
      <c r="AJ1634" s="93"/>
    </row>
    <row r="1635" spans="30:36" ht="18">
      <c r="AD1635" s="93"/>
      <c r="AE1635" s="214"/>
      <c r="AF1635" s="93"/>
      <c r="AG1635" s="93"/>
      <c r="AH1635" s="93"/>
      <c r="AI1635" s="93"/>
      <c r="AJ1635" s="93"/>
    </row>
    <row r="1636" spans="30:36" ht="18">
      <c r="AD1636" s="93"/>
      <c r="AE1636" s="214"/>
      <c r="AF1636" s="93"/>
      <c r="AG1636" s="93"/>
      <c r="AH1636" s="93"/>
      <c r="AI1636" s="93"/>
      <c r="AJ1636" s="93"/>
    </row>
    <row r="1637" spans="30:36" ht="18">
      <c r="AD1637" s="93"/>
      <c r="AE1637" s="215"/>
      <c r="AF1637" s="93"/>
      <c r="AG1637" s="93"/>
      <c r="AH1637" s="93"/>
      <c r="AI1637" s="93"/>
      <c r="AJ1637" s="93"/>
    </row>
    <row r="1638" spans="30:36" ht="18">
      <c r="AD1638" s="93"/>
      <c r="AE1638" s="214"/>
      <c r="AF1638" s="93"/>
      <c r="AG1638" s="93"/>
      <c r="AH1638" s="93"/>
      <c r="AI1638" s="93"/>
      <c r="AJ1638" s="93"/>
    </row>
    <row r="1639" spans="30:36" ht="18">
      <c r="AD1639" s="93"/>
      <c r="AE1639" s="214"/>
      <c r="AF1639" s="93"/>
      <c r="AG1639" s="93"/>
      <c r="AH1639" s="93"/>
      <c r="AI1639" s="93"/>
      <c r="AJ1639" s="93"/>
    </row>
    <row r="1640" spans="30:36" ht="18">
      <c r="AD1640" s="93"/>
      <c r="AE1640" s="214"/>
      <c r="AF1640" s="93"/>
      <c r="AG1640" s="93"/>
      <c r="AH1640" s="93"/>
      <c r="AI1640" s="93"/>
      <c r="AJ1640" s="93"/>
    </row>
    <row r="1641" spans="30:36" ht="18">
      <c r="AD1641" s="93"/>
      <c r="AE1641" s="214"/>
      <c r="AF1641" s="93"/>
      <c r="AG1641" s="93"/>
      <c r="AH1641" s="93"/>
      <c r="AI1641" s="93"/>
      <c r="AJ1641" s="93"/>
    </row>
    <row r="1642" spans="30:36" ht="18">
      <c r="AD1642" s="93"/>
      <c r="AE1642" s="214"/>
      <c r="AF1642" s="93"/>
      <c r="AG1642" s="93"/>
      <c r="AH1642" s="93"/>
      <c r="AI1642" s="93"/>
      <c r="AJ1642" s="93"/>
    </row>
    <row r="1643" spans="30:36" ht="18">
      <c r="AD1643" s="93"/>
      <c r="AE1643" s="214"/>
      <c r="AF1643" s="93"/>
      <c r="AG1643" s="93"/>
      <c r="AH1643" s="93"/>
      <c r="AI1643" s="93"/>
      <c r="AJ1643" s="93"/>
    </row>
    <row r="1644" spans="30:36" ht="18">
      <c r="AD1644" s="93"/>
      <c r="AE1644" s="214"/>
      <c r="AF1644" s="93"/>
      <c r="AG1644" s="93"/>
      <c r="AH1644" s="93"/>
      <c r="AI1644" s="93"/>
      <c r="AJ1644" s="93"/>
    </row>
    <row r="1645" spans="30:36" ht="18">
      <c r="AD1645" s="93"/>
      <c r="AE1645" s="214"/>
      <c r="AF1645" s="93"/>
      <c r="AG1645" s="93"/>
      <c r="AH1645" s="93"/>
      <c r="AI1645" s="93"/>
      <c r="AJ1645" s="93"/>
    </row>
    <row r="1646" spans="30:36" ht="18">
      <c r="AD1646" s="93"/>
      <c r="AE1646" s="214"/>
      <c r="AF1646" s="93"/>
      <c r="AG1646" s="93"/>
      <c r="AH1646" s="93"/>
      <c r="AI1646" s="93"/>
      <c r="AJ1646" s="93"/>
    </row>
    <row r="1647" spans="30:36" ht="18">
      <c r="AD1647" s="93"/>
      <c r="AE1647" s="214"/>
      <c r="AF1647" s="93"/>
      <c r="AG1647" s="93"/>
      <c r="AH1647" s="93"/>
      <c r="AI1647" s="93"/>
      <c r="AJ1647" s="93"/>
    </row>
    <row r="1648" spans="30:36" ht="18">
      <c r="AD1648" s="93"/>
      <c r="AE1648" s="214"/>
      <c r="AF1648" s="93"/>
      <c r="AG1648" s="93"/>
      <c r="AH1648" s="93"/>
      <c r="AI1648" s="93"/>
      <c r="AJ1648" s="93"/>
    </row>
    <row r="1649" spans="30:36" ht="18">
      <c r="AD1649" s="93"/>
      <c r="AE1649" s="214"/>
      <c r="AF1649" s="93"/>
      <c r="AG1649" s="93"/>
      <c r="AH1649" s="93"/>
      <c r="AI1649" s="93"/>
      <c r="AJ1649" s="93"/>
    </row>
    <row r="1650" spans="30:36" ht="18">
      <c r="AD1650" s="93"/>
      <c r="AE1650" s="214"/>
      <c r="AF1650" s="93"/>
      <c r="AG1650" s="93"/>
      <c r="AH1650" s="93"/>
      <c r="AI1650" s="93"/>
      <c r="AJ1650" s="93"/>
    </row>
    <row r="1651" spans="30:36" ht="18">
      <c r="AD1651" s="93"/>
      <c r="AE1651" s="214"/>
      <c r="AF1651" s="93"/>
      <c r="AG1651" s="93"/>
      <c r="AH1651" s="93"/>
      <c r="AI1651" s="93"/>
      <c r="AJ1651" s="93"/>
    </row>
    <row r="1652" spans="30:36" ht="18">
      <c r="AD1652" s="93"/>
      <c r="AE1652" s="214"/>
      <c r="AF1652" s="93"/>
      <c r="AG1652" s="93"/>
      <c r="AH1652" s="93"/>
      <c r="AI1652" s="93"/>
      <c r="AJ1652" s="93"/>
    </row>
    <row r="1653" spans="30:36" ht="18">
      <c r="AD1653" s="93"/>
      <c r="AE1653" s="214"/>
      <c r="AF1653" s="93"/>
      <c r="AG1653" s="93"/>
      <c r="AH1653" s="93"/>
      <c r="AI1653" s="93"/>
      <c r="AJ1653" s="93"/>
    </row>
    <row r="1654" spans="30:36" ht="18">
      <c r="AD1654" s="93"/>
      <c r="AE1654" s="214"/>
      <c r="AF1654" s="93"/>
      <c r="AG1654" s="93"/>
      <c r="AH1654" s="93"/>
      <c r="AI1654" s="93"/>
      <c r="AJ1654" s="93"/>
    </row>
    <row r="1655" spans="30:36" ht="18">
      <c r="AD1655" s="93"/>
      <c r="AE1655" s="215"/>
      <c r="AF1655" s="93"/>
      <c r="AG1655" s="93"/>
      <c r="AH1655" s="93"/>
      <c r="AI1655" s="93"/>
      <c r="AJ1655" s="93"/>
    </row>
    <row r="1656" spans="30:36" ht="18">
      <c r="AD1656" s="93"/>
      <c r="AE1656" s="215"/>
      <c r="AF1656" s="93"/>
      <c r="AG1656" s="93"/>
      <c r="AH1656" s="93"/>
      <c r="AI1656" s="93"/>
      <c r="AJ1656" s="93"/>
    </row>
    <row r="1657" spans="30:36" ht="18">
      <c r="AD1657" s="93"/>
      <c r="AE1657" s="214"/>
      <c r="AF1657" s="93"/>
      <c r="AG1657" s="93"/>
      <c r="AH1657" s="93"/>
      <c r="AI1657" s="93"/>
      <c r="AJ1657" s="93"/>
    </row>
    <row r="1658" spans="30:36" ht="18">
      <c r="AD1658" s="93"/>
      <c r="AE1658" s="214"/>
      <c r="AF1658" s="93"/>
      <c r="AG1658" s="93"/>
      <c r="AH1658" s="93"/>
      <c r="AI1658" s="93"/>
      <c r="AJ1658" s="93"/>
    </row>
    <row r="1659" spans="30:36" ht="18">
      <c r="AD1659" s="93"/>
      <c r="AE1659" s="214"/>
      <c r="AF1659" s="93"/>
      <c r="AG1659" s="93"/>
      <c r="AH1659" s="93"/>
      <c r="AI1659" s="93"/>
      <c r="AJ1659" s="93"/>
    </row>
    <row r="1660" spans="30:36" ht="18">
      <c r="AD1660" s="93"/>
      <c r="AE1660" s="214"/>
      <c r="AF1660" s="93"/>
      <c r="AG1660" s="93"/>
      <c r="AH1660" s="93"/>
      <c r="AI1660" s="93"/>
      <c r="AJ1660" s="93"/>
    </row>
    <row r="1661" spans="30:36" ht="18">
      <c r="AD1661" s="93"/>
      <c r="AE1661" s="214"/>
      <c r="AF1661" s="93"/>
      <c r="AG1661" s="93"/>
      <c r="AH1661" s="93"/>
      <c r="AI1661" s="93"/>
      <c r="AJ1661" s="93"/>
    </row>
    <row r="1662" spans="30:36" ht="18">
      <c r="AD1662" s="93"/>
      <c r="AE1662" s="214"/>
      <c r="AF1662" s="93"/>
      <c r="AG1662" s="93"/>
      <c r="AH1662" s="93"/>
      <c r="AI1662" s="93"/>
      <c r="AJ1662" s="93"/>
    </row>
    <row r="1663" spans="30:36" ht="18">
      <c r="AD1663" s="93"/>
      <c r="AE1663" s="214"/>
      <c r="AF1663" s="93"/>
      <c r="AG1663" s="93"/>
      <c r="AH1663" s="93"/>
      <c r="AI1663" s="93"/>
      <c r="AJ1663" s="93"/>
    </row>
    <row r="1664" spans="30:36" ht="18">
      <c r="AD1664" s="93"/>
      <c r="AE1664" s="214"/>
      <c r="AF1664" s="93"/>
      <c r="AG1664" s="93"/>
      <c r="AH1664" s="93"/>
      <c r="AI1664" s="93"/>
      <c r="AJ1664" s="93"/>
    </row>
    <row r="1665" spans="30:36" ht="18">
      <c r="AD1665" s="93"/>
      <c r="AE1665" s="214"/>
      <c r="AF1665" s="93"/>
      <c r="AG1665" s="93"/>
      <c r="AH1665" s="93"/>
      <c r="AI1665" s="93"/>
      <c r="AJ1665" s="93"/>
    </row>
    <row r="1666" spans="30:36" ht="18">
      <c r="AD1666" s="93"/>
      <c r="AE1666" s="214"/>
      <c r="AF1666" s="93"/>
      <c r="AG1666" s="93"/>
      <c r="AH1666" s="93"/>
      <c r="AI1666" s="93"/>
      <c r="AJ1666" s="93"/>
    </row>
    <row r="1667" spans="30:36" ht="18">
      <c r="AD1667" s="93"/>
      <c r="AE1667" s="214"/>
      <c r="AF1667" s="93"/>
      <c r="AG1667" s="93"/>
      <c r="AH1667" s="93"/>
      <c r="AI1667" s="93"/>
      <c r="AJ1667" s="93"/>
    </row>
    <row r="1668" spans="30:36" ht="18">
      <c r="AD1668" s="93"/>
      <c r="AE1668" s="214"/>
      <c r="AF1668" s="93"/>
      <c r="AG1668" s="93"/>
      <c r="AH1668" s="93"/>
      <c r="AI1668" s="93"/>
      <c r="AJ1668" s="93"/>
    </row>
    <row r="1669" spans="30:36" ht="18">
      <c r="AD1669" s="93"/>
      <c r="AE1669" s="215"/>
      <c r="AF1669" s="93"/>
      <c r="AG1669" s="93"/>
      <c r="AH1669" s="93"/>
      <c r="AI1669" s="93"/>
      <c r="AJ1669" s="93"/>
    </row>
    <row r="1670" spans="30:36" ht="18">
      <c r="AD1670" s="93"/>
      <c r="AE1670" s="215"/>
      <c r="AF1670" s="93"/>
      <c r="AG1670" s="93"/>
      <c r="AH1670" s="93"/>
      <c r="AI1670" s="93"/>
      <c r="AJ1670" s="93"/>
    </row>
    <row r="1671" spans="30:36" ht="18">
      <c r="AD1671" s="93"/>
      <c r="AE1671" s="214"/>
      <c r="AF1671" s="93"/>
      <c r="AG1671" s="93"/>
      <c r="AH1671" s="93"/>
      <c r="AI1671" s="93"/>
      <c r="AJ1671" s="93"/>
    </row>
    <row r="1672" spans="30:36" ht="18">
      <c r="AD1672" s="93"/>
      <c r="AE1672" s="214"/>
      <c r="AF1672" s="93"/>
      <c r="AG1672" s="93"/>
      <c r="AH1672" s="93"/>
      <c r="AI1672" s="93"/>
      <c r="AJ1672" s="93"/>
    </row>
    <row r="1673" spans="30:36" ht="18">
      <c r="AD1673" s="93"/>
      <c r="AE1673" s="214"/>
      <c r="AF1673" s="93"/>
      <c r="AG1673" s="93"/>
      <c r="AH1673" s="93"/>
      <c r="AI1673" s="93"/>
      <c r="AJ1673" s="93"/>
    </row>
    <row r="1674" spans="30:36" ht="18">
      <c r="AD1674" s="93"/>
      <c r="AE1674" s="214"/>
      <c r="AF1674" s="93"/>
      <c r="AG1674" s="93"/>
      <c r="AH1674" s="93"/>
      <c r="AI1674" s="93"/>
      <c r="AJ1674" s="93"/>
    </row>
    <row r="1675" spans="30:36" ht="18">
      <c r="AD1675" s="93"/>
      <c r="AE1675" s="214"/>
      <c r="AF1675" s="93"/>
      <c r="AG1675" s="93"/>
      <c r="AH1675" s="93"/>
      <c r="AI1675" s="93"/>
      <c r="AJ1675" s="93"/>
    </row>
    <row r="1676" spans="30:36" ht="18">
      <c r="AD1676" s="93"/>
      <c r="AE1676" s="214"/>
      <c r="AF1676" s="93"/>
      <c r="AG1676" s="93"/>
      <c r="AH1676" s="93"/>
      <c r="AI1676" s="93"/>
      <c r="AJ1676" s="93"/>
    </row>
    <row r="1677" spans="30:36" ht="18">
      <c r="AD1677" s="93"/>
      <c r="AE1677" s="214"/>
      <c r="AF1677" s="93"/>
      <c r="AG1677" s="93"/>
      <c r="AH1677" s="93"/>
      <c r="AI1677" s="93"/>
      <c r="AJ1677" s="93"/>
    </row>
    <row r="1678" spans="30:36" ht="18">
      <c r="AD1678" s="93"/>
      <c r="AE1678" s="214"/>
      <c r="AF1678" s="93"/>
      <c r="AG1678" s="93"/>
      <c r="AH1678" s="93"/>
      <c r="AI1678" s="93"/>
      <c r="AJ1678" s="93"/>
    </row>
    <row r="1679" spans="30:36" ht="18">
      <c r="AD1679" s="93"/>
      <c r="AE1679" s="214"/>
      <c r="AF1679" s="93"/>
      <c r="AG1679" s="93"/>
      <c r="AH1679" s="93"/>
      <c r="AI1679" s="93"/>
      <c r="AJ1679" s="93"/>
    </row>
    <row r="1680" spans="30:36" ht="18">
      <c r="AD1680" s="93"/>
      <c r="AE1680" s="214"/>
      <c r="AF1680" s="93"/>
      <c r="AG1680" s="93"/>
      <c r="AH1680" s="93"/>
      <c r="AI1680" s="93"/>
      <c r="AJ1680" s="93"/>
    </row>
    <row r="1681" spans="30:36" ht="18">
      <c r="AD1681" s="93"/>
      <c r="AE1681" s="214"/>
      <c r="AF1681" s="93"/>
      <c r="AG1681" s="93"/>
      <c r="AH1681" s="93"/>
      <c r="AI1681" s="93"/>
      <c r="AJ1681" s="93"/>
    </row>
    <row r="1682" spans="30:36" ht="18">
      <c r="AD1682" s="93"/>
      <c r="AE1682" s="214"/>
      <c r="AF1682" s="93"/>
      <c r="AG1682" s="93"/>
      <c r="AH1682" s="93"/>
      <c r="AI1682" s="93"/>
      <c r="AJ1682" s="93"/>
    </row>
    <row r="1683" spans="30:36" ht="18">
      <c r="AD1683" s="93"/>
      <c r="AE1683" s="214"/>
      <c r="AF1683" s="93"/>
      <c r="AG1683" s="93"/>
      <c r="AH1683" s="93"/>
      <c r="AI1683" s="93"/>
      <c r="AJ1683" s="93"/>
    </row>
    <row r="1684" spans="30:36" ht="18">
      <c r="AD1684" s="93"/>
      <c r="AE1684" s="214"/>
      <c r="AF1684" s="93"/>
      <c r="AG1684" s="93"/>
      <c r="AH1684" s="93"/>
      <c r="AI1684" s="93"/>
      <c r="AJ1684" s="93"/>
    </row>
    <row r="1685" spans="30:36" ht="18">
      <c r="AD1685" s="93"/>
      <c r="AE1685" s="214"/>
      <c r="AF1685" s="93"/>
      <c r="AG1685" s="93"/>
      <c r="AH1685" s="93"/>
      <c r="AI1685" s="93"/>
      <c r="AJ1685" s="93"/>
    </row>
    <row r="1686" spans="30:36" ht="18">
      <c r="AD1686" s="93"/>
      <c r="AE1686" s="214"/>
      <c r="AF1686" s="93"/>
      <c r="AG1686" s="93"/>
      <c r="AH1686" s="93"/>
      <c r="AI1686" s="93"/>
      <c r="AJ1686" s="93"/>
    </row>
    <row r="1687" spans="30:36" ht="18">
      <c r="AD1687" s="93"/>
      <c r="AE1687" s="214"/>
      <c r="AF1687" s="93"/>
      <c r="AG1687" s="93"/>
      <c r="AH1687" s="93"/>
      <c r="AI1687" s="93"/>
      <c r="AJ1687" s="93"/>
    </row>
    <row r="1688" spans="30:36" ht="18">
      <c r="AD1688" s="93"/>
      <c r="AE1688" s="214"/>
      <c r="AF1688" s="93"/>
      <c r="AG1688" s="93"/>
      <c r="AH1688" s="93"/>
      <c r="AI1688" s="93"/>
      <c r="AJ1688" s="93"/>
    </row>
    <row r="1689" spans="30:36" ht="18">
      <c r="AD1689" s="93"/>
      <c r="AE1689" s="214"/>
      <c r="AF1689" s="93"/>
      <c r="AG1689" s="93"/>
      <c r="AH1689" s="93"/>
      <c r="AI1689" s="93"/>
      <c r="AJ1689" s="93"/>
    </row>
    <row r="1690" spans="30:36" ht="18">
      <c r="AD1690" s="93"/>
      <c r="AE1690" s="214"/>
      <c r="AF1690" s="93"/>
      <c r="AG1690" s="93"/>
      <c r="AH1690" s="93"/>
      <c r="AI1690" s="93"/>
      <c r="AJ1690" s="93"/>
    </row>
    <row r="1691" spans="30:36" ht="18">
      <c r="AD1691" s="93"/>
      <c r="AE1691" s="214"/>
      <c r="AF1691" s="93"/>
      <c r="AG1691" s="93"/>
      <c r="AH1691" s="93"/>
      <c r="AI1691" s="93"/>
      <c r="AJ1691" s="93"/>
    </row>
    <row r="1692" spans="30:36" ht="18">
      <c r="AD1692" s="93"/>
      <c r="AE1692" s="214"/>
      <c r="AF1692" s="93"/>
      <c r="AG1692" s="93"/>
      <c r="AH1692" s="93"/>
      <c r="AI1692" s="93"/>
      <c r="AJ1692" s="93"/>
    </row>
    <row r="1693" spans="30:36" ht="18">
      <c r="AD1693" s="93"/>
      <c r="AE1693" s="214"/>
      <c r="AF1693" s="93"/>
      <c r="AG1693" s="93"/>
      <c r="AH1693" s="93"/>
      <c r="AI1693" s="93"/>
      <c r="AJ1693" s="93"/>
    </row>
    <row r="1694" spans="30:36" ht="18">
      <c r="AD1694" s="93"/>
      <c r="AE1694" s="214"/>
      <c r="AF1694" s="93"/>
      <c r="AG1694" s="93"/>
      <c r="AH1694" s="93"/>
      <c r="AI1694" s="93"/>
      <c r="AJ1694" s="93"/>
    </row>
    <row r="1695" spans="30:36" ht="18">
      <c r="AD1695" s="93"/>
      <c r="AE1695" s="214"/>
      <c r="AF1695" s="93"/>
      <c r="AG1695" s="93"/>
      <c r="AH1695" s="93"/>
      <c r="AI1695" s="93"/>
      <c r="AJ1695" s="93"/>
    </row>
    <row r="1696" spans="30:36" ht="18">
      <c r="AD1696" s="93"/>
      <c r="AE1696" s="214"/>
      <c r="AF1696" s="93"/>
      <c r="AG1696" s="93"/>
      <c r="AH1696" s="93"/>
      <c r="AI1696" s="93"/>
      <c r="AJ1696" s="93"/>
    </row>
    <row r="1697" spans="30:36" ht="18">
      <c r="AD1697" s="93"/>
      <c r="AE1697" s="214"/>
      <c r="AF1697" s="93"/>
      <c r="AG1697" s="93"/>
      <c r="AH1697" s="93"/>
      <c r="AI1697" s="93"/>
      <c r="AJ1697" s="93"/>
    </row>
    <row r="1698" spans="30:36" ht="18">
      <c r="AD1698" s="93"/>
      <c r="AE1698" s="214"/>
      <c r="AF1698" s="93"/>
      <c r="AG1698" s="93"/>
      <c r="AH1698" s="93"/>
      <c r="AI1698" s="93"/>
      <c r="AJ1698" s="93"/>
    </row>
    <row r="1699" spans="30:36" ht="18">
      <c r="AD1699" s="93"/>
      <c r="AE1699" s="214"/>
      <c r="AF1699" s="93"/>
      <c r="AG1699" s="93"/>
      <c r="AH1699" s="93"/>
      <c r="AI1699" s="93"/>
      <c r="AJ1699" s="93"/>
    </row>
    <row r="1700" spans="30:36" ht="18">
      <c r="AD1700" s="93"/>
      <c r="AE1700" s="214"/>
      <c r="AF1700" s="93"/>
      <c r="AG1700" s="93"/>
      <c r="AH1700" s="93"/>
      <c r="AI1700" s="93"/>
      <c r="AJ1700" s="93"/>
    </row>
    <row r="1701" spans="30:36" ht="18">
      <c r="AD1701" s="93"/>
      <c r="AE1701" s="214"/>
      <c r="AF1701" s="93"/>
      <c r="AG1701" s="93"/>
      <c r="AH1701" s="93"/>
      <c r="AI1701" s="93"/>
      <c r="AJ1701" s="93"/>
    </row>
    <row r="1702" spans="30:36" ht="18">
      <c r="AD1702" s="93"/>
      <c r="AE1702" s="214"/>
      <c r="AF1702" s="93"/>
      <c r="AG1702" s="93"/>
      <c r="AH1702" s="93"/>
      <c r="AI1702" s="93"/>
      <c r="AJ1702" s="93"/>
    </row>
    <row r="1703" spans="30:36" ht="18">
      <c r="AD1703" s="93"/>
      <c r="AE1703" s="214"/>
      <c r="AF1703" s="93"/>
      <c r="AG1703" s="93"/>
      <c r="AH1703" s="93"/>
      <c r="AI1703" s="93"/>
      <c r="AJ1703" s="93"/>
    </row>
    <row r="1704" spans="30:36" ht="18">
      <c r="AD1704" s="93"/>
      <c r="AE1704" s="214"/>
      <c r="AF1704" s="93"/>
      <c r="AG1704" s="93"/>
      <c r="AH1704" s="93"/>
      <c r="AI1704" s="93"/>
      <c r="AJ1704" s="93"/>
    </row>
    <row r="1705" spans="30:36" ht="18">
      <c r="AD1705" s="93"/>
      <c r="AE1705" s="214"/>
      <c r="AF1705" s="93"/>
      <c r="AG1705" s="93"/>
      <c r="AH1705" s="93"/>
      <c r="AI1705" s="93"/>
      <c r="AJ1705" s="93"/>
    </row>
    <row r="1706" spans="30:36" ht="18">
      <c r="AD1706" s="93"/>
      <c r="AE1706" s="214"/>
      <c r="AF1706" s="93"/>
      <c r="AG1706" s="93"/>
      <c r="AH1706" s="93"/>
      <c r="AI1706" s="93"/>
      <c r="AJ1706" s="93"/>
    </row>
    <row r="1707" spans="30:36" ht="18">
      <c r="AD1707" s="93"/>
      <c r="AE1707" s="214"/>
      <c r="AF1707" s="93"/>
      <c r="AG1707" s="93"/>
      <c r="AH1707" s="93"/>
      <c r="AI1707" s="93"/>
      <c r="AJ1707" s="93"/>
    </row>
    <row r="1708" spans="30:36" ht="18">
      <c r="AD1708" s="93"/>
      <c r="AE1708" s="214"/>
      <c r="AF1708" s="93"/>
      <c r="AG1708" s="93"/>
      <c r="AH1708" s="93"/>
      <c r="AI1708" s="93"/>
      <c r="AJ1708" s="93"/>
    </row>
    <row r="1709" spans="30:36" ht="18">
      <c r="AD1709" s="93"/>
      <c r="AE1709" s="214"/>
      <c r="AF1709" s="93"/>
      <c r="AG1709" s="93"/>
      <c r="AH1709" s="93"/>
      <c r="AI1709" s="93"/>
      <c r="AJ1709" s="93"/>
    </row>
    <row r="1710" spans="30:36" ht="18">
      <c r="AD1710" s="93"/>
      <c r="AE1710" s="214"/>
      <c r="AF1710" s="93"/>
      <c r="AG1710" s="93"/>
      <c r="AH1710" s="93"/>
      <c r="AI1710" s="93"/>
      <c r="AJ1710" s="93"/>
    </row>
    <row r="1711" spans="30:36" ht="18">
      <c r="AD1711" s="93"/>
      <c r="AE1711" s="214"/>
      <c r="AF1711" s="93"/>
      <c r="AG1711" s="93"/>
      <c r="AH1711" s="93"/>
      <c r="AI1711" s="93"/>
      <c r="AJ1711" s="93"/>
    </row>
    <row r="1712" spans="30:36" ht="18">
      <c r="AD1712" s="93"/>
      <c r="AE1712" s="214"/>
      <c r="AF1712" s="93"/>
      <c r="AG1712" s="93"/>
      <c r="AH1712" s="93"/>
      <c r="AI1712" s="93"/>
      <c r="AJ1712" s="93"/>
    </row>
    <row r="1713" spans="30:36" ht="18">
      <c r="AD1713" s="93"/>
      <c r="AE1713" s="214"/>
      <c r="AF1713" s="93"/>
      <c r="AG1713" s="93"/>
      <c r="AH1713" s="93"/>
      <c r="AI1713" s="93"/>
      <c r="AJ1713" s="93"/>
    </row>
    <row r="1714" spans="30:36" ht="18">
      <c r="AD1714" s="93"/>
      <c r="AE1714" s="215"/>
      <c r="AF1714" s="93"/>
      <c r="AG1714" s="93"/>
      <c r="AH1714" s="93"/>
      <c r="AI1714" s="93"/>
      <c r="AJ1714" s="93"/>
    </row>
    <row r="1715" spans="30:36" ht="18">
      <c r="AD1715" s="93"/>
      <c r="AE1715" s="215"/>
      <c r="AF1715" s="93"/>
      <c r="AG1715" s="93"/>
      <c r="AH1715" s="93"/>
      <c r="AI1715" s="93"/>
      <c r="AJ1715" s="93"/>
    </row>
    <row r="1716" spans="30:36" ht="18">
      <c r="AD1716" s="93"/>
      <c r="AE1716" s="214"/>
      <c r="AF1716" s="93"/>
      <c r="AG1716" s="93"/>
      <c r="AH1716" s="93"/>
      <c r="AI1716" s="93"/>
      <c r="AJ1716" s="93"/>
    </row>
    <row r="1717" spans="30:36" ht="18">
      <c r="AD1717" s="93"/>
      <c r="AE1717" s="214"/>
      <c r="AF1717" s="93"/>
      <c r="AG1717" s="93"/>
      <c r="AH1717" s="93"/>
      <c r="AI1717" s="93"/>
      <c r="AJ1717" s="93"/>
    </row>
    <row r="1718" spans="30:36" ht="18">
      <c r="AD1718" s="93"/>
      <c r="AE1718" s="214"/>
      <c r="AF1718" s="93"/>
      <c r="AG1718" s="93"/>
      <c r="AH1718" s="93"/>
      <c r="AI1718" s="93"/>
      <c r="AJ1718" s="93"/>
    </row>
    <row r="1719" spans="30:36" ht="18">
      <c r="AD1719" s="93"/>
      <c r="AE1719" s="214"/>
      <c r="AF1719" s="93"/>
      <c r="AG1719" s="93"/>
      <c r="AH1719" s="93"/>
      <c r="AI1719" s="93"/>
      <c r="AJ1719" s="93"/>
    </row>
    <row r="1720" spans="30:36" ht="18">
      <c r="AD1720" s="93"/>
      <c r="AE1720" s="214"/>
      <c r="AF1720" s="93"/>
      <c r="AG1720" s="93"/>
      <c r="AH1720" s="93"/>
      <c r="AI1720" s="93"/>
      <c r="AJ1720" s="93"/>
    </row>
    <row r="1721" spans="30:36" ht="18">
      <c r="AD1721" s="93"/>
      <c r="AE1721" s="214"/>
      <c r="AF1721" s="93"/>
      <c r="AG1721" s="93"/>
      <c r="AH1721" s="93"/>
      <c r="AI1721" s="93"/>
      <c r="AJ1721" s="93"/>
    </row>
    <row r="1722" spans="30:36" ht="18">
      <c r="AD1722" s="93"/>
      <c r="AE1722" s="214"/>
      <c r="AF1722" s="93"/>
      <c r="AG1722" s="93"/>
      <c r="AH1722" s="93"/>
      <c r="AI1722" s="93"/>
      <c r="AJ1722" s="93"/>
    </row>
    <row r="1723" spans="30:36" ht="18">
      <c r="AD1723" s="93"/>
      <c r="AE1723" s="214"/>
      <c r="AF1723" s="93"/>
      <c r="AG1723" s="93"/>
      <c r="AH1723" s="93"/>
      <c r="AI1723" s="93"/>
      <c r="AJ1723" s="93"/>
    </row>
    <row r="1724" spans="30:36" ht="18">
      <c r="AD1724" s="93"/>
      <c r="AE1724" s="214"/>
      <c r="AF1724" s="93"/>
      <c r="AG1724" s="93"/>
      <c r="AH1724" s="93"/>
      <c r="AI1724" s="93"/>
      <c r="AJ1724" s="93"/>
    </row>
    <row r="1725" spans="30:36" ht="18">
      <c r="AD1725" s="93"/>
      <c r="AE1725" s="214"/>
      <c r="AF1725" s="93"/>
      <c r="AG1725" s="93"/>
      <c r="AH1725" s="93"/>
      <c r="AI1725" s="93"/>
      <c r="AJ1725" s="93"/>
    </row>
    <row r="1726" spans="30:36" ht="18">
      <c r="AD1726" s="93"/>
      <c r="AE1726" s="214"/>
      <c r="AF1726" s="93"/>
      <c r="AG1726" s="93"/>
      <c r="AH1726" s="93"/>
      <c r="AI1726" s="93"/>
      <c r="AJ1726" s="93"/>
    </row>
    <row r="1727" spans="30:36" ht="18">
      <c r="AD1727" s="93"/>
      <c r="AE1727" s="214"/>
      <c r="AF1727" s="93"/>
      <c r="AG1727" s="93"/>
      <c r="AH1727" s="93"/>
      <c r="AI1727" s="93"/>
      <c r="AJ1727" s="93"/>
    </row>
    <row r="1728" spans="30:36" ht="18">
      <c r="AD1728" s="93"/>
      <c r="AE1728" s="214"/>
      <c r="AF1728" s="93"/>
      <c r="AG1728" s="93"/>
      <c r="AH1728" s="93"/>
      <c r="AI1728" s="93"/>
      <c r="AJ1728" s="93"/>
    </row>
    <row r="1729" spans="30:36" ht="18">
      <c r="AD1729" s="93"/>
      <c r="AE1729" s="214"/>
      <c r="AF1729" s="93"/>
      <c r="AG1729" s="93"/>
      <c r="AH1729" s="93"/>
      <c r="AI1729" s="93"/>
      <c r="AJ1729" s="93"/>
    </row>
    <row r="1730" spans="30:36" ht="18">
      <c r="AD1730" s="93"/>
      <c r="AE1730" s="214"/>
      <c r="AF1730" s="93"/>
      <c r="AG1730" s="93"/>
      <c r="AH1730" s="93"/>
      <c r="AI1730" s="93"/>
      <c r="AJ1730" s="93"/>
    </row>
    <row r="1731" spans="30:36" ht="18">
      <c r="AD1731" s="93"/>
      <c r="AE1731" s="214"/>
      <c r="AF1731" s="93"/>
      <c r="AG1731" s="93"/>
      <c r="AH1731" s="93"/>
      <c r="AI1731" s="93"/>
      <c r="AJ1731" s="93"/>
    </row>
    <row r="1732" spans="30:36" ht="18">
      <c r="AD1732" s="93"/>
      <c r="AE1732" s="214"/>
      <c r="AF1732" s="93"/>
      <c r="AG1732" s="93"/>
      <c r="AH1732" s="93"/>
      <c r="AI1732" s="93"/>
      <c r="AJ1732" s="93"/>
    </row>
    <row r="1733" spans="30:36" ht="18">
      <c r="AD1733" s="93"/>
      <c r="AE1733" s="214"/>
      <c r="AF1733" s="93"/>
      <c r="AG1733" s="93"/>
      <c r="AH1733" s="93"/>
      <c r="AI1733" s="93"/>
      <c r="AJ1733" s="93"/>
    </row>
    <row r="1734" spans="30:36" ht="18">
      <c r="AD1734" s="93"/>
      <c r="AE1734" s="214"/>
      <c r="AF1734" s="93"/>
      <c r="AG1734" s="93"/>
      <c r="AH1734" s="93"/>
      <c r="AI1734" s="93"/>
      <c r="AJ1734" s="93"/>
    </row>
    <row r="1735" spans="30:36" ht="18">
      <c r="AD1735" s="93"/>
      <c r="AE1735" s="214"/>
      <c r="AF1735" s="93"/>
      <c r="AG1735" s="93"/>
      <c r="AH1735" s="93"/>
      <c r="AI1735" s="93"/>
      <c r="AJ1735" s="93"/>
    </row>
    <row r="1736" spans="30:36" ht="18">
      <c r="AD1736" s="93"/>
      <c r="AE1736" s="214"/>
      <c r="AF1736" s="93"/>
      <c r="AG1736" s="93"/>
      <c r="AH1736" s="93"/>
      <c r="AI1736" s="93"/>
      <c r="AJ1736" s="93"/>
    </row>
    <row r="1737" spans="30:36" ht="18">
      <c r="AD1737" s="93"/>
      <c r="AE1737" s="214"/>
      <c r="AF1737" s="93"/>
      <c r="AG1737" s="93"/>
      <c r="AH1737" s="93"/>
      <c r="AI1737" s="93"/>
      <c r="AJ1737" s="93"/>
    </row>
    <row r="1738" spans="30:36" ht="18">
      <c r="AD1738" s="93"/>
      <c r="AE1738" s="214"/>
      <c r="AF1738" s="93"/>
      <c r="AG1738" s="93"/>
      <c r="AH1738" s="93"/>
      <c r="AI1738" s="93"/>
      <c r="AJ1738" s="93"/>
    </row>
    <row r="1739" spans="30:36" ht="18">
      <c r="AD1739" s="93"/>
      <c r="AE1739" s="214"/>
      <c r="AF1739" s="93"/>
      <c r="AG1739" s="93"/>
      <c r="AH1739" s="93"/>
      <c r="AI1739" s="93"/>
      <c r="AJ1739" s="93"/>
    </row>
    <row r="1740" spans="30:36" ht="18">
      <c r="AD1740" s="93"/>
      <c r="AE1740" s="214"/>
      <c r="AF1740" s="93"/>
      <c r="AG1740" s="93"/>
      <c r="AH1740" s="93"/>
      <c r="AI1740" s="93"/>
      <c r="AJ1740" s="93"/>
    </row>
    <row r="1741" spans="30:36" ht="18">
      <c r="AD1741" s="93"/>
      <c r="AE1741" s="214"/>
      <c r="AF1741" s="93"/>
      <c r="AG1741" s="93"/>
      <c r="AH1741" s="93"/>
      <c r="AI1741" s="93"/>
      <c r="AJ1741" s="93"/>
    </row>
    <row r="1742" spans="30:36" ht="18">
      <c r="AD1742" s="93"/>
      <c r="AE1742" s="214"/>
      <c r="AF1742" s="93"/>
      <c r="AG1742" s="93"/>
      <c r="AH1742" s="93"/>
      <c r="AI1742" s="93"/>
      <c r="AJ1742" s="93"/>
    </row>
    <row r="1743" spans="30:36" ht="18">
      <c r="AD1743" s="93"/>
      <c r="AE1743" s="214"/>
      <c r="AF1743" s="93"/>
      <c r="AG1743" s="93"/>
      <c r="AH1743" s="93"/>
      <c r="AI1743" s="93"/>
      <c r="AJ1743" s="93"/>
    </row>
    <row r="1744" spans="30:36" ht="18">
      <c r="AD1744" s="93"/>
      <c r="AE1744" s="214"/>
      <c r="AF1744" s="93"/>
      <c r="AG1744" s="93"/>
      <c r="AH1744" s="93"/>
      <c r="AI1744" s="93"/>
      <c r="AJ1744" s="93"/>
    </row>
    <row r="1745" spans="30:36" ht="18">
      <c r="AD1745" s="93"/>
      <c r="AE1745" s="214"/>
      <c r="AF1745" s="93"/>
      <c r="AG1745" s="93"/>
      <c r="AH1745" s="93"/>
      <c r="AI1745" s="93"/>
      <c r="AJ1745" s="93"/>
    </row>
    <row r="1746" spans="30:36" ht="18">
      <c r="AD1746" s="93"/>
      <c r="AE1746" s="214"/>
      <c r="AF1746" s="93"/>
      <c r="AG1746" s="93"/>
      <c r="AH1746" s="93"/>
      <c r="AI1746" s="93"/>
      <c r="AJ1746" s="93"/>
    </row>
    <row r="1747" spans="30:36" ht="18">
      <c r="AD1747" s="93"/>
      <c r="AE1747" s="214"/>
      <c r="AF1747" s="93"/>
      <c r="AG1747" s="93"/>
      <c r="AH1747" s="93"/>
      <c r="AI1747" s="93"/>
      <c r="AJ1747" s="93"/>
    </row>
    <row r="1748" spans="30:36" ht="18">
      <c r="AD1748" s="93"/>
      <c r="AE1748" s="215"/>
      <c r="AF1748" s="93"/>
      <c r="AG1748" s="93"/>
      <c r="AH1748" s="93"/>
      <c r="AI1748" s="93"/>
      <c r="AJ1748" s="93"/>
    </row>
    <row r="1749" spans="30:36" ht="18">
      <c r="AD1749" s="93"/>
      <c r="AE1749" s="214"/>
      <c r="AF1749" s="93"/>
      <c r="AG1749" s="93"/>
      <c r="AH1749" s="93"/>
      <c r="AI1749" s="93"/>
      <c r="AJ1749" s="93"/>
    </row>
    <row r="1750" spans="30:36" ht="18">
      <c r="AD1750" s="93"/>
      <c r="AE1750" s="214"/>
      <c r="AF1750" s="93"/>
      <c r="AG1750" s="93"/>
      <c r="AH1750" s="93"/>
      <c r="AI1750" s="93"/>
      <c r="AJ1750" s="93"/>
    </row>
    <row r="1751" spans="30:36" ht="18">
      <c r="AD1751" s="93"/>
      <c r="AE1751" s="214"/>
      <c r="AF1751" s="93"/>
      <c r="AG1751" s="93"/>
      <c r="AH1751" s="93"/>
      <c r="AI1751" s="93"/>
      <c r="AJ1751" s="93"/>
    </row>
    <row r="1752" spans="30:36" ht="18">
      <c r="AD1752" s="93"/>
      <c r="AE1752" s="214"/>
      <c r="AF1752" s="93"/>
      <c r="AG1752" s="93"/>
      <c r="AH1752" s="93"/>
      <c r="AI1752" s="93"/>
      <c r="AJ1752" s="93"/>
    </row>
    <row r="1753" spans="30:36" ht="18">
      <c r="AD1753" s="93"/>
      <c r="AE1753" s="214"/>
      <c r="AF1753" s="93"/>
      <c r="AG1753" s="93"/>
      <c r="AH1753" s="93"/>
      <c r="AI1753" s="93"/>
      <c r="AJ1753" s="93"/>
    </row>
    <row r="1754" spans="30:36" ht="18">
      <c r="AD1754" s="93"/>
      <c r="AE1754" s="214"/>
      <c r="AF1754" s="93"/>
      <c r="AG1754" s="93"/>
      <c r="AH1754" s="93"/>
      <c r="AI1754" s="93"/>
      <c r="AJ1754" s="93"/>
    </row>
    <row r="1755" spans="30:36" ht="18">
      <c r="AD1755" s="93"/>
      <c r="AE1755" s="214"/>
      <c r="AF1755" s="93"/>
      <c r="AG1755" s="93"/>
      <c r="AH1755" s="93"/>
      <c r="AI1755" s="93"/>
      <c r="AJ1755" s="93"/>
    </row>
    <row r="1756" spans="30:36" ht="18">
      <c r="AD1756" s="93"/>
      <c r="AE1756" s="214"/>
      <c r="AF1756" s="93"/>
      <c r="AG1756" s="93"/>
      <c r="AH1756" s="93"/>
      <c r="AI1756" s="93"/>
      <c r="AJ1756" s="93"/>
    </row>
    <row r="1757" spans="30:36" ht="18">
      <c r="AD1757" s="93"/>
      <c r="AE1757" s="214"/>
      <c r="AF1757" s="93"/>
      <c r="AG1757" s="93"/>
      <c r="AH1757" s="93"/>
      <c r="AI1757" s="93"/>
      <c r="AJ1757" s="93"/>
    </row>
    <row r="1758" spans="30:36" ht="18">
      <c r="AD1758" s="93"/>
      <c r="AE1758" s="214"/>
      <c r="AF1758" s="93"/>
      <c r="AG1758" s="93"/>
      <c r="AH1758" s="93"/>
      <c r="AI1758" s="93"/>
      <c r="AJ1758" s="93"/>
    </row>
    <row r="1759" spans="30:36" ht="18">
      <c r="AD1759" s="93"/>
      <c r="AE1759" s="214"/>
      <c r="AF1759" s="93"/>
      <c r="AG1759" s="93"/>
      <c r="AH1759" s="93"/>
      <c r="AI1759" s="93"/>
      <c r="AJ1759" s="93"/>
    </row>
    <row r="1760" spans="30:36" ht="18">
      <c r="AD1760" s="93"/>
      <c r="AE1760" s="214"/>
      <c r="AF1760" s="93"/>
      <c r="AG1760" s="93"/>
      <c r="AH1760" s="93"/>
      <c r="AI1760" s="93"/>
      <c r="AJ1760" s="93"/>
    </row>
    <row r="1761" spans="30:36" ht="18">
      <c r="AD1761" s="93"/>
      <c r="AE1761" s="214"/>
      <c r="AF1761" s="93"/>
      <c r="AG1761" s="93"/>
      <c r="AH1761" s="93"/>
      <c r="AI1761" s="93"/>
      <c r="AJ1761" s="93"/>
    </row>
    <row r="1762" spans="30:36" ht="18">
      <c r="AD1762" s="93"/>
      <c r="AE1762" s="214"/>
      <c r="AF1762" s="93"/>
      <c r="AG1762" s="93"/>
      <c r="AH1762" s="93"/>
      <c r="AI1762" s="93"/>
      <c r="AJ1762" s="93"/>
    </row>
    <row r="1763" spans="30:36" ht="18">
      <c r="AD1763" s="93"/>
      <c r="AE1763" s="214"/>
      <c r="AF1763" s="93"/>
      <c r="AG1763" s="93"/>
      <c r="AH1763" s="93"/>
      <c r="AI1763" s="93"/>
      <c r="AJ1763" s="93"/>
    </row>
    <row r="1764" spans="30:36" ht="18">
      <c r="AD1764" s="93"/>
      <c r="AE1764" s="214"/>
      <c r="AF1764" s="93"/>
      <c r="AG1764" s="93"/>
      <c r="AH1764" s="93"/>
      <c r="AI1764" s="93"/>
      <c r="AJ1764" s="93"/>
    </row>
    <row r="1765" spans="30:36" ht="18">
      <c r="AD1765" s="93"/>
      <c r="AE1765" s="214"/>
      <c r="AF1765" s="93"/>
      <c r="AG1765" s="93"/>
      <c r="AH1765" s="93"/>
      <c r="AI1765" s="93"/>
      <c r="AJ1765" s="93"/>
    </row>
    <row r="1766" spans="30:36" ht="18">
      <c r="AD1766" s="93"/>
      <c r="AE1766" s="214"/>
      <c r="AF1766" s="93"/>
      <c r="AG1766" s="93"/>
      <c r="AH1766" s="93"/>
      <c r="AI1766" s="93"/>
      <c r="AJ1766" s="93"/>
    </row>
    <row r="1767" spans="30:36" ht="18">
      <c r="AD1767" s="93"/>
      <c r="AE1767" s="214"/>
      <c r="AF1767" s="93"/>
      <c r="AG1767" s="93"/>
      <c r="AH1767" s="93"/>
      <c r="AI1767" s="93"/>
      <c r="AJ1767" s="93"/>
    </row>
    <row r="1768" spans="30:36" ht="18">
      <c r="AD1768" s="93"/>
      <c r="AE1768" s="214"/>
      <c r="AF1768" s="93"/>
      <c r="AG1768" s="93"/>
      <c r="AH1768" s="93"/>
      <c r="AI1768" s="93"/>
      <c r="AJ1768" s="93"/>
    </row>
    <row r="1769" spans="30:36" ht="18">
      <c r="AD1769" s="93"/>
      <c r="AE1769" s="214"/>
      <c r="AF1769" s="93"/>
      <c r="AG1769" s="93"/>
      <c r="AH1769" s="93"/>
      <c r="AI1769" s="93"/>
      <c r="AJ1769" s="93"/>
    </row>
    <row r="1770" spans="30:36" ht="18">
      <c r="AD1770" s="93"/>
      <c r="AE1770" s="214"/>
      <c r="AF1770" s="93"/>
      <c r="AG1770" s="93"/>
      <c r="AH1770" s="93"/>
      <c r="AI1770" s="93"/>
      <c r="AJ1770" s="93"/>
    </row>
    <row r="1771" spans="30:36" ht="18">
      <c r="AD1771" s="93"/>
      <c r="AE1771" s="214"/>
      <c r="AF1771" s="93"/>
      <c r="AG1771" s="93"/>
      <c r="AH1771" s="93"/>
      <c r="AI1771" s="93"/>
      <c r="AJ1771" s="93"/>
    </row>
    <row r="1772" spans="30:36" ht="18">
      <c r="AD1772" s="93"/>
      <c r="AE1772" s="214"/>
      <c r="AF1772" s="93"/>
      <c r="AG1772" s="93"/>
      <c r="AH1772" s="93"/>
      <c r="AI1772" s="93"/>
      <c r="AJ1772" s="93"/>
    </row>
    <row r="1773" spans="30:36" ht="18">
      <c r="AD1773" s="93"/>
      <c r="AE1773" s="214"/>
      <c r="AF1773" s="93"/>
      <c r="AG1773" s="93"/>
      <c r="AH1773" s="93"/>
      <c r="AI1773" s="93"/>
      <c r="AJ1773" s="93"/>
    </row>
    <row r="1774" spans="30:36" ht="18">
      <c r="AD1774" s="93"/>
      <c r="AE1774" s="214"/>
      <c r="AF1774" s="93"/>
      <c r="AG1774" s="93"/>
      <c r="AH1774" s="93"/>
      <c r="AI1774" s="93"/>
      <c r="AJ1774" s="93"/>
    </row>
    <row r="1775" spans="30:36" ht="18">
      <c r="AD1775" s="93"/>
      <c r="AE1775" s="214"/>
      <c r="AF1775" s="93"/>
      <c r="AG1775" s="93"/>
      <c r="AH1775" s="93"/>
      <c r="AI1775" s="93"/>
      <c r="AJ1775" s="93"/>
    </row>
    <row r="1776" spans="30:36" ht="18">
      <c r="AD1776" s="93"/>
      <c r="AE1776" s="214"/>
      <c r="AF1776" s="93"/>
      <c r="AG1776" s="93"/>
      <c r="AH1776" s="93"/>
      <c r="AI1776" s="93"/>
      <c r="AJ1776" s="93"/>
    </row>
    <row r="1777" spans="30:36" ht="18">
      <c r="AD1777" s="93"/>
      <c r="AE1777" s="214"/>
      <c r="AF1777" s="93"/>
      <c r="AG1777" s="93"/>
      <c r="AH1777" s="93"/>
      <c r="AI1777" s="93"/>
      <c r="AJ1777" s="93"/>
    </row>
    <row r="1778" spans="30:36" ht="18">
      <c r="AD1778" s="93"/>
      <c r="AE1778" s="214"/>
      <c r="AF1778" s="93"/>
      <c r="AG1778" s="93"/>
      <c r="AH1778" s="93"/>
      <c r="AI1778" s="93"/>
      <c r="AJ1778" s="93"/>
    </row>
    <row r="1779" spans="30:36" ht="18">
      <c r="AD1779" s="93"/>
      <c r="AE1779" s="214"/>
      <c r="AF1779" s="93"/>
      <c r="AG1779" s="93"/>
      <c r="AH1779" s="93"/>
      <c r="AI1779" s="93"/>
      <c r="AJ1779" s="93"/>
    </row>
    <row r="1780" spans="30:36" ht="18">
      <c r="AD1780" s="93"/>
      <c r="AE1780" s="214"/>
      <c r="AF1780" s="93"/>
      <c r="AG1780" s="93"/>
      <c r="AH1780" s="93"/>
      <c r="AI1780" s="93"/>
      <c r="AJ1780" s="93"/>
    </row>
    <row r="1781" spans="30:36" ht="18">
      <c r="AD1781" s="93"/>
      <c r="AE1781" s="214"/>
      <c r="AF1781" s="93"/>
      <c r="AG1781" s="93"/>
      <c r="AH1781" s="93"/>
      <c r="AI1781" s="93"/>
      <c r="AJ1781" s="93"/>
    </row>
    <row r="1782" spans="30:36" ht="18">
      <c r="AD1782" s="93"/>
      <c r="AE1782" s="214"/>
      <c r="AF1782" s="93"/>
      <c r="AG1782" s="93"/>
      <c r="AH1782" s="93"/>
      <c r="AI1782" s="93"/>
      <c r="AJ1782" s="93"/>
    </row>
    <row r="1783" spans="30:36" ht="18">
      <c r="AD1783" s="93"/>
      <c r="AE1783" s="214"/>
      <c r="AF1783" s="93"/>
      <c r="AG1783" s="93"/>
      <c r="AH1783" s="93"/>
      <c r="AI1783" s="93"/>
      <c r="AJ1783" s="93"/>
    </row>
    <row r="1784" spans="30:36" ht="18">
      <c r="AD1784" s="93"/>
      <c r="AE1784" s="214"/>
      <c r="AF1784" s="93"/>
      <c r="AG1784" s="93"/>
      <c r="AH1784" s="93"/>
      <c r="AI1784" s="93"/>
      <c r="AJ1784" s="93"/>
    </row>
    <row r="1785" spans="30:36" ht="18">
      <c r="AD1785" s="93"/>
      <c r="AE1785" s="215"/>
      <c r="AF1785" s="93"/>
      <c r="AG1785" s="93"/>
      <c r="AH1785" s="93"/>
      <c r="AI1785" s="93"/>
      <c r="AJ1785" s="93"/>
    </row>
    <row r="1786" spans="30:36" ht="18">
      <c r="AD1786" s="93"/>
      <c r="AE1786" s="214"/>
      <c r="AF1786" s="93"/>
      <c r="AG1786" s="93"/>
      <c r="AH1786" s="93"/>
      <c r="AI1786" s="93"/>
      <c r="AJ1786" s="93"/>
    </row>
    <row r="1787" spans="30:36" ht="18">
      <c r="AD1787" s="93"/>
      <c r="AE1787" s="214"/>
      <c r="AF1787" s="93"/>
      <c r="AG1787" s="93"/>
      <c r="AH1787" s="93"/>
      <c r="AI1787" s="93"/>
      <c r="AJ1787" s="93"/>
    </row>
    <row r="1788" spans="30:36" ht="18">
      <c r="AD1788" s="93"/>
      <c r="AE1788" s="214"/>
      <c r="AF1788" s="93"/>
      <c r="AG1788" s="93"/>
      <c r="AH1788" s="93"/>
      <c r="AI1788" s="93"/>
      <c r="AJ1788" s="93"/>
    </row>
    <row r="1789" spans="30:36" ht="18">
      <c r="AD1789" s="93"/>
      <c r="AE1789" s="214"/>
      <c r="AF1789" s="93"/>
      <c r="AG1789" s="93"/>
      <c r="AH1789" s="93"/>
      <c r="AI1789" s="93"/>
      <c r="AJ1789" s="93"/>
    </row>
    <row r="1790" spans="30:36" ht="18">
      <c r="AD1790" s="93"/>
      <c r="AE1790" s="214"/>
      <c r="AF1790" s="93"/>
      <c r="AG1790" s="93"/>
      <c r="AH1790" s="93"/>
      <c r="AI1790" s="93"/>
      <c r="AJ1790" s="93"/>
    </row>
    <row r="1791" spans="30:36" ht="18">
      <c r="AD1791" s="93"/>
      <c r="AE1791" s="214"/>
      <c r="AF1791" s="93"/>
      <c r="AG1791" s="93"/>
      <c r="AH1791" s="93"/>
      <c r="AI1791" s="93"/>
      <c r="AJ1791" s="93"/>
    </row>
    <row r="1792" spans="30:36" ht="18">
      <c r="AD1792" s="93"/>
      <c r="AE1792" s="214"/>
      <c r="AF1792" s="93"/>
      <c r="AG1792" s="93"/>
      <c r="AH1792" s="93"/>
      <c r="AI1792" s="93"/>
      <c r="AJ1792" s="93"/>
    </row>
    <row r="1793" spans="30:36" ht="18">
      <c r="AD1793" s="93"/>
      <c r="AE1793" s="214"/>
      <c r="AF1793" s="93"/>
      <c r="AG1793" s="93"/>
      <c r="AH1793" s="93"/>
      <c r="AI1793" s="93"/>
      <c r="AJ1793" s="93"/>
    </row>
    <row r="1794" spans="30:36" ht="18">
      <c r="AD1794" s="93"/>
      <c r="AE1794" s="214"/>
      <c r="AF1794" s="93"/>
      <c r="AG1794" s="93"/>
      <c r="AH1794" s="93"/>
      <c r="AI1794" s="93"/>
      <c r="AJ1794" s="93"/>
    </row>
    <row r="1795" spans="30:36" ht="18">
      <c r="AD1795" s="93"/>
      <c r="AE1795" s="214"/>
      <c r="AF1795" s="93"/>
      <c r="AG1795" s="93"/>
      <c r="AH1795" s="93"/>
      <c r="AI1795" s="93"/>
      <c r="AJ1795" s="93"/>
    </row>
    <row r="1796" spans="30:36" ht="18">
      <c r="AD1796" s="93"/>
      <c r="AE1796" s="214"/>
      <c r="AF1796" s="93"/>
      <c r="AG1796" s="93"/>
      <c r="AH1796" s="93"/>
      <c r="AI1796" s="93"/>
      <c r="AJ1796" s="93"/>
    </row>
    <row r="1797" spans="30:36" ht="18">
      <c r="AD1797" s="93"/>
      <c r="AE1797" s="214"/>
      <c r="AF1797" s="93"/>
      <c r="AG1797" s="93"/>
      <c r="AH1797" s="93"/>
      <c r="AI1797" s="93"/>
      <c r="AJ1797" s="93"/>
    </row>
    <row r="1798" spans="30:36" ht="18">
      <c r="AD1798" s="93"/>
      <c r="AE1798" s="214"/>
      <c r="AF1798" s="93"/>
      <c r="AG1798" s="93"/>
      <c r="AH1798" s="93"/>
      <c r="AI1798" s="93"/>
      <c r="AJ1798" s="93"/>
    </row>
    <row r="1799" spans="30:36" ht="18">
      <c r="AD1799" s="93"/>
      <c r="AE1799" s="214"/>
      <c r="AF1799" s="93"/>
      <c r="AG1799" s="93"/>
      <c r="AH1799" s="93"/>
      <c r="AI1799" s="93"/>
      <c r="AJ1799" s="93"/>
    </row>
    <row r="1800" spans="30:36" ht="18">
      <c r="AD1800" s="93"/>
      <c r="AE1800" s="215"/>
      <c r="AF1800" s="93"/>
      <c r="AG1800" s="93"/>
      <c r="AH1800" s="93"/>
      <c r="AI1800" s="93"/>
      <c r="AJ1800" s="93"/>
    </row>
    <row r="1801" spans="30:36" ht="18">
      <c r="AD1801" s="93"/>
      <c r="AE1801" s="214"/>
      <c r="AF1801" s="93"/>
      <c r="AG1801" s="93"/>
      <c r="AH1801" s="93"/>
      <c r="AI1801" s="93"/>
      <c r="AJ1801" s="93"/>
    </row>
    <row r="1802" spans="30:36" ht="18">
      <c r="AD1802" s="93"/>
      <c r="AE1802" s="214"/>
      <c r="AF1802" s="93"/>
      <c r="AG1802" s="93"/>
      <c r="AH1802" s="93"/>
      <c r="AI1802" s="93"/>
      <c r="AJ1802" s="93"/>
    </row>
    <row r="1803" spans="30:36" ht="18">
      <c r="AD1803" s="93"/>
      <c r="AE1803" s="214"/>
      <c r="AF1803" s="93"/>
      <c r="AG1803" s="93"/>
      <c r="AH1803" s="93"/>
      <c r="AI1803" s="93"/>
      <c r="AJ1803" s="93"/>
    </row>
    <row r="1804" spans="30:36" ht="18">
      <c r="AD1804" s="93"/>
      <c r="AE1804" s="214"/>
      <c r="AF1804" s="93"/>
      <c r="AG1804" s="93"/>
      <c r="AH1804" s="93"/>
      <c r="AI1804" s="93"/>
      <c r="AJ1804" s="93"/>
    </row>
    <row r="1805" spans="30:36" ht="18">
      <c r="AD1805" s="93"/>
      <c r="AE1805" s="214"/>
      <c r="AF1805" s="93"/>
      <c r="AG1805" s="93"/>
      <c r="AH1805" s="93"/>
      <c r="AI1805" s="93"/>
      <c r="AJ1805" s="93"/>
    </row>
    <row r="1806" spans="30:36" ht="18">
      <c r="AD1806" s="93"/>
      <c r="AE1806" s="214"/>
      <c r="AF1806" s="93"/>
      <c r="AG1806" s="93"/>
      <c r="AH1806" s="93"/>
      <c r="AI1806" s="93"/>
      <c r="AJ1806" s="93"/>
    </row>
    <row r="1807" spans="30:36" ht="18">
      <c r="AD1807" s="93"/>
      <c r="AE1807" s="215"/>
      <c r="AF1807" s="93"/>
      <c r="AG1807" s="93"/>
      <c r="AH1807" s="93"/>
      <c r="AI1807" s="93"/>
      <c r="AJ1807" s="93"/>
    </row>
    <row r="1808" spans="30:36" ht="18">
      <c r="AD1808" s="93"/>
      <c r="AE1808" s="214"/>
      <c r="AF1808" s="93"/>
      <c r="AG1808" s="93"/>
      <c r="AH1808" s="93"/>
      <c r="AI1808" s="93"/>
      <c r="AJ1808" s="93"/>
    </row>
    <row r="1809" spans="30:36" ht="18">
      <c r="AD1809" s="93"/>
      <c r="AE1809" s="214"/>
      <c r="AF1809" s="93"/>
      <c r="AG1809" s="93"/>
      <c r="AH1809" s="93"/>
      <c r="AI1809" s="93"/>
      <c r="AJ1809" s="93"/>
    </row>
    <row r="1810" spans="30:36" ht="18">
      <c r="AD1810" s="93"/>
      <c r="AE1810" s="214"/>
      <c r="AF1810" s="93"/>
      <c r="AG1810" s="93"/>
      <c r="AH1810" s="93"/>
      <c r="AI1810" s="93"/>
      <c r="AJ1810" s="93"/>
    </row>
    <row r="1811" spans="30:36" ht="18">
      <c r="AD1811" s="93"/>
      <c r="AE1811" s="214"/>
      <c r="AF1811" s="93"/>
      <c r="AG1811" s="93"/>
      <c r="AH1811" s="93"/>
      <c r="AI1811" s="93"/>
      <c r="AJ1811" s="93"/>
    </row>
    <row r="1812" spans="30:36" ht="18">
      <c r="AD1812" s="93"/>
      <c r="AE1812" s="214"/>
      <c r="AF1812" s="93"/>
      <c r="AG1812" s="93"/>
      <c r="AH1812" s="93"/>
      <c r="AI1812" s="93"/>
      <c r="AJ1812" s="93"/>
    </row>
    <row r="1813" spans="30:36" ht="18">
      <c r="AD1813" s="93"/>
      <c r="AE1813" s="214"/>
      <c r="AF1813" s="93"/>
      <c r="AG1813" s="93"/>
      <c r="AH1813" s="93"/>
      <c r="AI1813" s="93"/>
      <c r="AJ1813" s="93"/>
    </row>
    <row r="1814" spans="30:36" ht="18">
      <c r="AD1814" s="93"/>
      <c r="AE1814" s="214"/>
      <c r="AF1814" s="93"/>
      <c r="AG1814" s="93"/>
      <c r="AH1814" s="93"/>
      <c r="AI1814" s="93"/>
      <c r="AJ1814" s="93"/>
    </row>
    <row r="1815" spans="30:36" ht="18">
      <c r="AD1815" s="93"/>
      <c r="AE1815" s="214"/>
      <c r="AF1815" s="93"/>
      <c r="AG1815" s="93"/>
      <c r="AH1815" s="93"/>
      <c r="AI1815" s="93"/>
      <c r="AJ1815" s="93"/>
    </row>
    <row r="1816" spans="30:36" ht="18">
      <c r="AD1816" s="93"/>
      <c r="AE1816" s="214"/>
      <c r="AF1816" s="93"/>
      <c r="AG1816" s="93"/>
      <c r="AH1816" s="93"/>
      <c r="AI1816" s="93"/>
      <c r="AJ1816" s="93"/>
    </row>
    <row r="1817" spans="30:36" ht="18">
      <c r="AD1817" s="93"/>
      <c r="AE1817" s="214"/>
      <c r="AF1817" s="93"/>
      <c r="AG1817" s="93"/>
      <c r="AH1817" s="93"/>
      <c r="AI1817" s="93"/>
      <c r="AJ1817" s="93"/>
    </row>
    <row r="1818" spans="30:36" ht="18">
      <c r="AD1818" s="93"/>
      <c r="AE1818" s="214"/>
      <c r="AF1818" s="93"/>
      <c r="AG1818" s="93"/>
      <c r="AH1818" s="93"/>
      <c r="AI1818" s="93"/>
      <c r="AJ1818" s="93"/>
    </row>
    <row r="1819" spans="30:36" ht="18">
      <c r="AD1819" s="93"/>
      <c r="AE1819" s="214"/>
      <c r="AF1819" s="93"/>
      <c r="AG1819" s="93"/>
      <c r="AH1819" s="93"/>
      <c r="AI1819" s="93"/>
      <c r="AJ1819" s="93"/>
    </row>
    <row r="1820" spans="30:36" ht="18">
      <c r="AD1820" s="93"/>
      <c r="AE1820" s="214"/>
      <c r="AF1820" s="93"/>
      <c r="AG1820" s="93"/>
      <c r="AH1820" s="93"/>
      <c r="AI1820" s="93"/>
      <c r="AJ1820" s="93"/>
    </row>
    <row r="1821" spans="30:36" ht="18">
      <c r="AD1821" s="93"/>
      <c r="AE1821" s="214"/>
      <c r="AF1821" s="93"/>
      <c r="AG1821" s="93"/>
      <c r="AH1821" s="93"/>
      <c r="AI1821" s="93"/>
      <c r="AJ1821" s="93"/>
    </row>
    <row r="1822" spans="30:36" ht="18">
      <c r="AD1822" s="93"/>
      <c r="AE1822" s="214"/>
      <c r="AF1822" s="93"/>
      <c r="AG1822" s="93"/>
      <c r="AH1822" s="93"/>
      <c r="AI1822" s="93"/>
      <c r="AJ1822" s="93"/>
    </row>
    <row r="1823" spans="30:36" ht="18">
      <c r="AD1823" s="93"/>
      <c r="AE1823" s="214"/>
      <c r="AF1823" s="93"/>
      <c r="AG1823" s="93"/>
      <c r="AH1823" s="93"/>
      <c r="AI1823" s="93"/>
      <c r="AJ1823" s="93"/>
    </row>
    <row r="1824" spans="30:36" ht="18">
      <c r="AD1824" s="93"/>
      <c r="AE1824" s="214"/>
      <c r="AF1824" s="93"/>
      <c r="AG1824" s="93"/>
      <c r="AH1824" s="93"/>
      <c r="AI1824" s="93"/>
      <c r="AJ1824" s="93"/>
    </row>
    <row r="1825" spans="30:36" ht="18">
      <c r="AD1825" s="93"/>
      <c r="AE1825" s="214"/>
      <c r="AF1825" s="93"/>
      <c r="AG1825" s="93"/>
      <c r="AH1825" s="93"/>
      <c r="AI1825" s="93"/>
      <c r="AJ1825" s="93"/>
    </row>
    <row r="1826" spans="30:36" ht="18">
      <c r="AD1826" s="93"/>
      <c r="AE1826" s="214"/>
      <c r="AF1826" s="93"/>
      <c r="AG1826" s="93"/>
      <c r="AH1826" s="93"/>
      <c r="AI1826" s="93"/>
      <c r="AJ1826" s="93"/>
    </row>
    <row r="1827" spans="30:36" ht="18">
      <c r="AD1827" s="93"/>
      <c r="AE1827" s="214"/>
      <c r="AF1827" s="93"/>
      <c r="AG1827" s="93"/>
      <c r="AH1827" s="93"/>
      <c r="AI1827" s="93"/>
      <c r="AJ1827" s="93"/>
    </row>
    <row r="1828" spans="30:36" ht="18">
      <c r="AD1828" s="93"/>
      <c r="AE1828" s="214"/>
      <c r="AF1828" s="93"/>
      <c r="AG1828" s="93"/>
      <c r="AH1828" s="93"/>
      <c r="AI1828" s="93"/>
      <c r="AJ1828" s="93"/>
    </row>
    <row r="1829" spans="30:36" ht="18">
      <c r="AD1829" s="93"/>
      <c r="AE1829" s="214"/>
      <c r="AF1829" s="93"/>
      <c r="AG1829" s="93"/>
      <c r="AH1829" s="93"/>
      <c r="AI1829" s="93"/>
      <c r="AJ1829" s="93"/>
    </row>
    <row r="1830" spans="30:36" ht="18">
      <c r="AD1830" s="93"/>
      <c r="AE1830" s="214"/>
      <c r="AF1830" s="93"/>
      <c r="AG1830" s="93"/>
      <c r="AH1830" s="93"/>
      <c r="AI1830" s="93"/>
      <c r="AJ1830" s="93"/>
    </row>
    <row r="1831" spans="30:36" ht="18">
      <c r="AD1831" s="93"/>
      <c r="AE1831" s="214"/>
      <c r="AF1831" s="93"/>
      <c r="AG1831" s="93"/>
      <c r="AH1831" s="93"/>
      <c r="AI1831" s="93"/>
      <c r="AJ1831" s="93"/>
    </row>
    <row r="1832" spans="30:36" ht="18">
      <c r="AD1832" s="93"/>
      <c r="AE1832" s="214"/>
      <c r="AF1832" s="93"/>
      <c r="AG1832" s="93"/>
      <c r="AH1832" s="93"/>
      <c r="AI1832" s="93"/>
      <c r="AJ1832" s="93"/>
    </row>
    <row r="1833" spans="30:36" ht="18">
      <c r="AD1833" s="93"/>
      <c r="AE1833" s="215"/>
      <c r="AF1833" s="93"/>
      <c r="AG1833" s="93"/>
      <c r="AH1833" s="93"/>
      <c r="AI1833" s="93"/>
      <c r="AJ1833" s="93"/>
    </row>
    <row r="1834" spans="30:36" ht="18">
      <c r="AD1834" s="93"/>
      <c r="AE1834" s="214"/>
      <c r="AF1834" s="93"/>
      <c r="AG1834" s="93"/>
      <c r="AH1834" s="93"/>
      <c r="AI1834" s="93"/>
      <c r="AJ1834" s="93"/>
    </row>
    <row r="1835" spans="30:36" ht="18">
      <c r="AD1835" s="93"/>
      <c r="AE1835" s="214"/>
      <c r="AF1835" s="93"/>
      <c r="AG1835" s="93"/>
      <c r="AH1835" s="93"/>
      <c r="AI1835" s="93"/>
      <c r="AJ1835" s="93"/>
    </row>
    <row r="1836" spans="30:36" ht="18">
      <c r="AD1836" s="93"/>
      <c r="AE1836" s="215"/>
      <c r="AF1836" s="93"/>
      <c r="AG1836" s="93"/>
      <c r="AH1836" s="93"/>
      <c r="AI1836" s="93"/>
      <c r="AJ1836" s="93"/>
    </row>
    <row r="1837" spans="30:36" ht="18">
      <c r="AD1837" s="93"/>
      <c r="AE1837" s="214"/>
      <c r="AF1837" s="93"/>
      <c r="AG1837" s="93"/>
      <c r="AH1837" s="93"/>
      <c r="AI1837" s="93"/>
      <c r="AJ1837" s="93"/>
    </row>
    <row r="1838" spans="30:36" ht="18">
      <c r="AD1838" s="93"/>
      <c r="AE1838" s="214"/>
      <c r="AF1838" s="93"/>
      <c r="AG1838" s="93"/>
      <c r="AH1838" s="93"/>
      <c r="AI1838" s="93"/>
      <c r="AJ1838" s="93"/>
    </row>
    <row r="1839" spans="30:36" ht="18">
      <c r="AD1839" s="93"/>
      <c r="AE1839" s="214"/>
      <c r="AF1839" s="93"/>
      <c r="AG1839" s="93"/>
      <c r="AH1839" s="93"/>
      <c r="AI1839" s="93"/>
      <c r="AJ1839" s="93"/>
    </row>
    <row r="1840" spans="30:36" ht="18">
      <c r="AD1840" s="93"/>
      <c r="AE1840" s="214"/>
      <c r="AF1840" s="93"/>
      <c r="AG1840" s="93"/>
      <c r="AH1840" s="93"/>
      <c r="AI1840" s="93"/>
      <c r="AJ1840" s="93"/>
    </row>
    <row r="1841" spans="30:36" ht="18">
      <c r="AD1841" s="93"/>
      <c r="AE1841" s="214"/>
      <c r="AF1841" s="93"/>
      <c r="AG1841" s="93"/>
      <c r="AH1841" s="93"/>
      <c r="AI1841" s="93"/>
      <c r="AJ1841" s="93"/>
    </row>
    <row r="1842" spans="30:36" ht="18">
      <c r="AD1842" s="93"/>
      <c r="AE1842" s="214"/>
      <c r="AF1842" s="93"/>
      <c r="AG1842" s="93"/>
      <c r="AH1842" s="93"/>
      <c r="AI1842" s="93"/>
      <c r="AJ1842" s="93"/>
    </row>
    <row r="1843" spans="30:36" ht="18">
      <c r="AD1843" s="93"/>
      <c r="AE1843" s="215"/>
      <c r="AF1843" s="93"/>
      <c r="AG1843" s="93"/>
      <c r="AH1843" s="93"/>
      <c r="AI1843" s="93"/>
      <c r="AJ1843" s="93"/>
    </row>
    <row r="1844" spans="30:36" ht="18">
      <c r="AD1844" s="93"/>
      <c r="AE1844" s="214"/>
      <c r="AF1844" s="93"/>
      <c r="AG1844" s="93"/>
      <c r="AH1844" s="93"/>
      <c r="AI1844" s="93"/>
      <c r="AJ1844" s="93"/>
    </row>
    <row r="1845" spans="30:36" ht="18">
      <c r="AD1845" s="93"/>
      <c r="AE1845" s="214"/>
      <c r="AF1845" s="93"/>
      <c r="AG1845" s="93"/>
      <c r="AH1845" s="93"/>
      <c r="AI1845" s="93"/>
      <c r="AJ1845" s="93"/>
    </row>
    <row r="1846" spans="30:36" ht="18">
      <c r="AD1846" s="93"/>
      <c r="AE1846" s="214"/>
      <c r="AF1846" s="93"/>
      <c r="AG1846" s="93"/>
      <c r="AH1846" s="93"/>
      <c r="AI1846" s="93"/>
      <c r="AJ1846" s="93"/>
    </row>
    <row r="1847" spans="30:36" ht="18">
      <c r="AD1847" s="93"/>
      <c r="AE1847" s="214"/>
      <c r="AF1847" s="93"/>
      <c r="AG1847" s="93"/>
      <c r="AH1847" s="93"/>
      <c r="AI1847" s="93"/>
      <c r="AJ1847" s="93"/>
    </row>
    <row r="1848" spans="30:36" ht="18">
      <c r="AD1848" s="93"/>
      <c r="AE1848" s="214"/>
      <c r="AF1848" s="93"/>
      <c r="AG1848" s="93"/>
      <c r="AH1848" s="93"/>
      <c r="AI1848" s="93"/>
      <c r="AJ1848" s="93"/>
    </row>
    <row r="1849" spans="30:36" ht="18">
      <c r="AD1849" s="93"/>
      <c r="AE1849" s="214"/>
      <c r="AF1849" s="93"/>
      <c r="AG1849" s="93"/>
      <c r="AH1849" s="93"/>
      <c r="AI1849" s="93"/>
      <c r="AJ1849" s="93"/>
    </row>
    <row r="1850" spans="30:36" ht="18">
      <c r="AD1850" s="93"/>
      <c r="AE1850" s="214"/>
      <c r="AF1850" s="93"/>
      <c r="AG1850" s="93"/>
      <c r="AH1850" s="93"/>
      <c r="AI1850" s="93"/>
      <c r="AJ1850" s="93"/>
    </row>
    <row r="1851" spans="30:36" ht="18">
      <c r="AD1851" s="93"/>
      <c r="AE1851" s="214"/>
      <c r="AF1851" s="93"/>
      <c r="AG1851" s="93"/>
      <c r="AH1851" s="93"/>
      <c r="AI1851" s="93"/>
      <c r="AJ1851" s="93"/>
    </row>
    <row r="1852" spans="30:36" ht="18">
      <c r="AD1852" s="93"/>
      <c r="AE1852" s="214"/>
      <c r="AF1852" s="93"/>
      <c r="AG1852" s="93"/>
      <c r="AH1852" s="93"/>
      <c r="AI1852" s="93"/>
      <c r="AJ1852" s="93"/>
    </row>
    <row r="1853" spans="30:36" ht="18">
      <c r="AD1853" s="93"/>
      <c r="AE1853" s="214"/>
      <c r="AF1853" s="93"/>
      <c r="AG1853" s="93"/>
      <c r="AH1853" s="93"/>
      <c r="AI1853" s="93"/>
      <c r="AJ1853" s="93"/>
    </row>
    <row r="1854" spans="30:36" ht="18">
      <c r="AD1854" s="93"/>
      <c r="AE1854" s="214"/>
      <c r="AF1854" s="93"/>
      <c r="AG1854" s="93"/>
      <c r="AH1854" s="93"/>
      <c r="AI1854" s="93"/>
      <c r="AJ1854" s="93"/>
    </row>
    <row r="1855" spans="30:36" ht="18">
      <c r="AD1855" s="93"/>
      <c r="AE1855" s="214"/>
      <c r="AF1855" s="93"/>
      <c r="AG1855" s="93"/>
      <c r="AH1855" s="93"/>
      <c r="AI1855" s="93"/>
      <c r="AJ1855" s="93"/>
    </row>
    <row r="1856" spans="30:36" ht="18">
      <c r="AD1856" s="93"/>
      <c r="AE1856" s="214"/>
      <c r="AF1856" s="93"/>
      <c r="AG1856" s="93"/>
      <c r="AH1856" s="93"/>
      <c r="AI1856" s="93"/>
      <c r="AJ1856" s="93"/>
    </row>
    <row r="1857" spans="30:36" ht="18">
      <c r="AD1857" s="93"/>
      <c r="AE1857" s="214"/>
      <c r="AF1857" s="93"/>
      <c r="AG1857" s="93"/>
      <c r="AH1857" s="93"/>
      <c r="AI1857" s="93"/>
      <c r="AJ1857" s="93"/>
    </row>
    <row r="1858" spans="30:36" ht="18">
      <c r="AD1858" s="93"/>
      <c r="AE1858" s="214"/>
      <c r="AF1858" s="93"/>
      <c r="AG1858" s="93"/>
      <c r="AH1858" s="93"/>
      <c r="AI1858" s="93"/>
      <c r="AJ1858" s="93"/>
    </row>
    <row r="1859" spans="30:36" ht="18">
      <c r="AD1859" s="93"/>
      <c r="AE1859" s="214"/>
      <c r="AF1859" s="93"/>
      <c r="AG1859" s="93"/>
      <c r="AH1859" s="93"/>
      <c r="AI1859" s="93"/>
      <c r="AJ1859" s="93"/>
    </row>
    <row r="1860" spans="30:36" ht="18">
      <c r="AD1860" s="93"/>
      <c r="AE1860" s="214"/>
      <c r="AF1860" s="93"/>
      <c r="AG1860" s="93"/>
      <c r="AH1860" s="93"/>
      <c r="AI1860" s="93"/>
      <c r="AJ1860" s="93"/>
    </row>
    <row r="1861" spans="30:36" ht="18">
      <c r="AD1861" s="93"/>
      <c r="AE1861" s="214"/>
      <c r="AF1861" s="93"/>
      <c r="AG1861" s="93"/>
      <c r="AH1861" s="93"/>
      <c r="AI1861" s="93"/>
      <c r="AJ1861" s="93"/>
    </row>
    <row r="1862" spans="30:36" ht="18">
      <c r="AD1862" s="93"/>
      <c r="AE1862" s="214"/>
      <c r="AF1862" s="93"/>
      <c r="AG1862" s="93"/>
      <c r="AH1862" s="93"/>
      <c r="AI1862" s="93"/>
      <c r="AJ1862" s="93"/>
    </row>
    <row r="1863" spans="30:36" ht="18">
      <c r="AD1863" s="93"/>
      <c r="AE1863" s="214"/>
      <c r="AF1863" s="93"/>
      <c r="AG1863" s="93"/>
      <c r="AH1863" s="93"/>
      <c r="AI1863" s="93"/>
      <c r="AJ1863" s="93"/>
    </row>
    <row r="1864" spans="30:36" ht="18">
      <c r="AD1864" s="93"/>
      <c r="AE1864" s="214"/>
      <c r="AF1864" s="93"/>
      <c r="AG1864" s="93"/>
      <c r="AH1864" s="93"/>
      <c r="AI1864" s="93"/>
      <c r="AJ1864" s="93"/>
    </row>
    <row r="1865" spans="30:36" ht="18">
      <c r="AD1865" s="93"/>
      <c r="AE1865" s="214"/>
      <c r="AF1865" s="93"/>
      <c r="AG1865" s="93"/>
      <c r="AH1865" s="93"/>
      <c r="AI1865" s="93"/>
      <c r="AJ1865" s="93"/>
    </row>
    <row r="1866" spans="30:36" ht="18">
      <c r="AD1866" s="93"/>
      <c r="AE1866" s="214"/>
      <c r="AF1866" s="93"/>
      <c r="AG1866" s="93"/>
      <c r="AH1866" s="93"/>
      <c r="AI1866" s="93"/>
      <c r="AJ1866" s="93"/>
    </row>
    <row r="1867" spans="30:36" ht="18">
      <c r="AD1867" s="93"/>
      <c r="AE1867" s="214"/>
      <c r="AF1867" s="93"/>
      <c r="AG1867" s="93"/>
      <c r="AH1867" s="93"/>
      <c r="AI1867" s="93"/>
      <c r="AJ1867" s="93"/>
    </row>
    <row r="1868" spans="30:36" ht="18">
      <c r="AD1868" s="93"/>
      <c r="AE1868" s="214"/>
      <c r="AF1868" s="93"/>
      <c r="AG1868" s="93"/>
      <c r="AH1868" s="93"/>
      <c r="AI1868" s="93"/>
      <c r="AJ1868" s="93"/>
    </row>
    <row r="1869" spans="30:36" ht="18">
      <c r="AD1869" s="93"/>
      <c r="AE1869" s="214"/>
      <c r="AF1869" s="93"/>
      <c r="AG1869" s="93"/>
      <c r="AH1869" s="93"/>
      <c r="AI1869" s="93"/>
      <c r="AJ1869" s="93"/>
    </row>
    <row r="1870" spans="30:36" ht="18">
      <c r="AD1870" s="93"/>
      <c r="AE1870" s="214"/>
      <c r="AF1870" s="93"/>
      <c r="AG1870" s="93"/>
      <c r="AH1870" s="93"/>
      <c r="AI1870" s="93"/>
      <c r="AJ1870" s="93"/>
    </row>
    <row r="1871" spans="30:36" ht="18">
      <c r="AD1871" s="93"/>
      <c r="AE1871" s="214"/>
      <c r="AF1871" s="93"/>
      <c r="AG1871" s="93"/>
      <c r="AH1871" s="93"/>
      <c r="AI1871" s="93"/>
      <c r="AJ1871" s="93"/>
    </row>
    <row r="1872" spans="30:36" ht="18">
      <c r="AD1872" s="93"/>
      <c r="AE1872" s="214"/>
      <c r="AF1872" s="93"/>
      <c r="AG1872" s="93"/>
      <c r="AH1872" s="93"/>
      <c r="AI1872" s="93"/>
      <c r="AJ1872" s="93"/>
    </row>
    <row r="1873" spans="30:36" ht="18">
      <c r="AD1873" s="93"/>
      <c r="AE1873" s="214"/>
      <c r="AF1873" s="93"/>
      <c r="AG1873" s="93"/>
      <c r="AH1873" s="93"/>
      <c r="AI1873" s="93"/>
      <c r="AJ1873" s="93"/>
    </row>
    <row r="1874" spans="30:36" ht="18">
      <c r="AD1874" s="93"/>
      <c r="AE1874" s="214"/>
      <c r="AF1874" s="93"/>
      <c r="AG1874" s="93"/>
      <c r="AH1874" s="93"/>
      <c r="AI1874" s="93"/>
      <c r="AJ1874" s="93"/>
    </row>
    <row r="1875" spans="30:36" ht="18">
      <c r="AD1875" s="93"/>
      <c r="AE1875" s="214"/>
      <c r="AF1875" s="93"/>
      <c r="AG1875" s="93"/>
      <c r="AH1875" s="93"/>
      <c r="AI1875" s="93"/>
      <c r="AJ1875" s="93"/>
    </row>
    <row r="1876" spans="30:36" ht="18">
      <c r="AD1876" s="93"/>
      <c r="AE1876" s="214"/>
      <c r="AF1876" s="93"/>
      <c r="AG1876" s="93"/>
      <c r="AH1876" s="93"/>
      <c r="AI1876" s="93"/>
      <c r="AJ1876" s="93"/>
    </row>
    <row r="1877" spans="30:36" ht="18">
      <c r="AD1877" s="93"/>
      <c r="AE1877" s="214"/>
      <c r="AF1877" s="93"/>
      <c r="AG1877" s="93"/>
      <c r="AH1877" s="93"/>
      <c r="AI1877" s="93"/>
      <c r="AJ1877" s="93"/>
    </row>
    <row r="1878" spans="30:36" ht="18">
      <c r="AD1878" s="93"/>
      <c r="AE1878" s="214"/>
      <c r="AF1878" s="93"/>
      <c r="AG1878" s="93"/>
      <c r="AH1878" s="93"/>
      <c r="AI1878" s="93"/>
      <c r="AJ1878" s="93"/>
    </row>
    <row r="1879" spans="30:36" ht="18">
      <c r="AD1879" s="93"/>
      <c r="AE1879" s="214"/>
      <c r="AF1879" s="93"/>
      <c r="AG1879" s="93"/>
      <c r="AH1879" s="93"/>
      <c r="AI1879" s="93"/>
      <c r="AJ1879" s="93"/>
    </row>
    <row r="1880" spans="30:36" ht="18">
      <c r="AD1880" s="93"/>
      <c r="AE1880" s="214"/>
      <c r="AF1880" s="93"/>
      <c r="AG1880" s="93"/>
      <c r="AH1880" s="93"/>
      <c r="AI1880" s="93"/>
      <c r="AJ1880" s="93"/>
    </row>
    <row r="1881" spans="30:36" ht="18">
      <c r="AD1881" s="93"/>
      <c r="AE1881" s="214"/>
      <c r="AF1881" s="93"/>
      <c r="AG1881" s="93"/>
      <c r="AH1881" s="93"/>
      <c r="AI1881" s="93"/>
      <c r="AJ1881" s="93"/>
    </row>
    <row r="1882" spans="30:36" ht="18">
      <c r="AD1882" s="93"/>
      <c r="AE1882" s="214"/>
      <c r="AF1882" s="93"/>
      <c r="AG1882" s="93"/>
      <c r="AH1882" s="93"/>
      <c r="AI1882" s="93"/>
      <c r="AJ1882" s="93"/>
    </row>
    <row r="1883" spans="30:36" ht="18">
      <c r="AD1883" s="93"/>
      <c r="AE1883" s="214"/>
      <c r="AF1883" s="93"/>
      <c r="AG1883" s="93"/>
      <c r="AH1883" s="93"/>
      <c r="AI1883" s="93"/>
      <c r="AJ1883" s="93"/>
    </row>
    <row r="1884" spans="30:36" ht="18">
      <c r="AD1884" s="93"/>
      <c r="AE1884" s="214"/>
      <c r="AF1884" s="93"/>
      <c r="AG1884" s="93"/>
      <c r="AH1884" s="93"/>
      <c r="AI1884" s="93"/>
      <c r="AJ1884" s="93"/>
    </row>
    <row r="1885" spans="30:36" ht="18">
      <c r="AD1885" s="93"/>
      <c r="AE1885" s="214"/>
      <c r="AF1885" s="93"/>
      <c r="AG1885" s="93"/>
      <c r="AH1885" s="93"/>
      <c r="AI1885" s="93"/>
      <c r="AJ1885" s="93"/>
    </row>
    <row r="1886" spans="30:36" ht="18">
      <c r="AD1886" s="93"/>
      <c r="AE1886" s="214"/>
      <c r="AF1886" s="93"/>
      <c r="AG1886" s="93"/>
      <c r="AH1886" s="93"/>
      <c r="AI1886" s="93"/>
      <c r="AJ1886" s="93"/>
    </row>
    <row r="1887" spans="30:36" ht="18">
      <c r="AD1887" s="93"/>
      <c r="AE1887" s="214"/>
      <c r="AF1887" s="93"/>
      <c r="AG1887" s="93"/>
      <c r="AH1887" s="93"/>
      <c r="AI1887" s="93"/>
      <c r="AJ1887" s="93"/>
    </row>
    <row r="1888" spans="30:36" ht="18">
      <c r="AD1888" s="93"/>
      <c r="AE1888" s="214"/>
      <c r="AF1888" s="93"/>
      <c r="AG1888" s="93"/>
      <c r="AH1888" s="93"/>
      <c r="AI1888" s="93"/>
      <c r="AJ1888" s="93"/>
    </row>
    <row r="1889" spans="30:36" ht="18">
      <c r="AD1889" s="93"/>
      <c r="AE1889" s="214"/>
      <c r="AF1889" s="93"/>
      <c r="AG1889" s="93"/>
      <c r="AH1889" s="93"/>
      <c r="AI1889" s="93"/>
      <c r="AJ1889" s="93"/>
    </row>
    <row r="1890" spans="30:36" ht="18">
      <c r="AD1890" s="93"/>
      <c r="AE1890" s="214"/>
      <c r="AF1890" s="93"/>
      <c r="AG1890" s="93"/>
      <c r="AH1890" s="93"/>
      <c r="AI1890" s="93"/>
      <c r="AJ1890" s="93"/>
    </row>
    <row r="1891" spans="30:36" ht="18">
      <c r="AD1891" s="93"/>
      <c r="AE1891" s="214"/>
      <c r="AF1891" s="93"/>
      <c r="AG1891" s="93"/>
      <c r="AH1891" s="93"/>
      <c r="AI1891" s="93"/>
      <c r="AJ1891" s="93"/>
    </row>
    <row r="1892" spans="30:36" ht="18">
      <c r="AD1892" s="93"/>
      <c r="AE1892" s="214"/>
      <c r="AF1892" s="93"/>
      <c r="AG1892" s="93"/>
      <c r="AH1892" s="93"/>
      <c r="AI1892" s="93"/>
      <c r="AJ1892" s="93"/>
    </row>
    <row r="1893" spans="30:36" ht="18">
      <c r="AD1893" s="93"/>
      <c r="AE1893" s="214"/>
      <c r="AF1893" s="93"/>
      <c r="AG1893" s="93"/>
      <c r="AH1893" s="93"/>
      <c r="AI1893" s="93"/>
      <c r="AJ1893" s="93"/>
    </row>
    <row r="1894" spans="30:36" ht="18">
      <c r="AD1894" s="93"/>
      <c r="AE1894" s="214"/>
      <c r="AF1894" s="93"/>
      <c r="AG1894" s="93"/>
      <c r="AH1894" s="93"/>
      <c r="AI1894" s="93"/>
      <c r="AJ1894" s="93"/>
    </row>
    <row r="1895" spans="30:36" ht="18">
      <c r="AD1895" s="93"/>
      <c r="AE1895" s="214"/>
      <c r="AF1895" s="93"/>
      <c r="AG1895" s="93"/>
      <c r="AH1895" s="93"/>
      <c r="AI1895" s="93"/>
      <c r="AJ1895" s="93"/>
    </row>
    <row r="1896" spans="30:36" ht="18">
      <c r="AD1896" s="93"/>
      <c r="AE1896" s="214"/>
      <c r="AF1896" s="93"/>
      <c r="AG1896" s="93"/>
      <c r="AH1896" s="93"/>
      <c r="AI1896" s="93"/>
      <c r="AJ1896" s="93"/>
    </row>
    <row r="1897" spans="30:36" ht="18">
      <c r="AD1897" s="93"/>
      <c r="AE1897" s="214"/>
      <c r="AF1897" s="93"/>
      <c r="AG1897" s="93"/>
      <c r="AH1897" s="93"/>
      <c r="AI1897" s="93"/>
      <c r="AJ1897" s="93"/>
    </row>
    <row r="1898" spans="30:36" ht="18">
      <c r="AD1898" s="93"/>
      <c r="AE1898" s="214"/>
      <c r="AF1898" s="93"/>
      <c r="AG1898" s="93"/>
      <c r="AH1898" s="93"/>
      <c r="AI1898" s="93"/>
      <c r="AJ1898" s="93"/>
    </row>
    <row r="1899" spans="30:36" ht="18">
      <c r="AD1899" s="93"/>
      <c r="AE1899" s="214"/>
      <c r="AF1899" s="93"/>
      <c r="AG1899" s="93"/>
      <c r="AH1899" s="93"/>
      <c r="AI1899" s="93"/>
      <c r="AJ1899" s="93"/>
    </row>
    <row r="1900" spans="30:36" ht="18">
      <c r="AD1900" s="93"/>
      <c r="AE1900" s="214"/>
      <c r="AF1900" s="93"/>
      <c r="AG1900" s="93"/>
      <c r="AH1900" s="93"/>
      <c r="AI1900" s="93"/>
      <c r="AJ1900" s="93"/>
    </row>
    <row r="1901" spans="30:36" ht="18">
      <c r="AD1901" s="93"/>
      <c r="AE1901" s="214"/>
      <c r="AF1901" s="93"/>
      <c r="AG1901" s="93"/>
      <c r="AH1901" s="93"/>
      <c r="AI1901" s="93"/>
      <c r="AJ1901" s="93"/>
    </row>
    <row r="1902" spans="30:36" ht="18">
      <c r="AD1902" s="93"/>
      <c r="AE1902" s="214"/>
      <c r="AF1902" s="93"/>
      <c r="AG1902" s="93"/>
      <c r="AH1902" s="93"/>
      <c r="AI1902" s="93"/>
      <c r="AJ1902" s="93"/>
    </row>
    <row r="1903" spans="30:36" ht="18">
      <c r="AD1903" s="93"/>
      <c r="AE1903" s="214"/>
      <c r="AF1903" s="93"/>
      <c r="AG1903" s="93"/>
      <c r="AH1903" s="93"/>
      <c r="AI1903" s="93"/>
      <c r="AJ1903" s="93"/>
    </row>
    <row r="1904" spans="30:36" ht="18">
      <c r="AD1904" s="93"/>
      <c r="AE1904" s="214"/>
      <c r="AF1904" s="93"/>
      <c r="AG1904" s="93"/>
      <c r="AH1904" s="93"/>
      <c r="AI1904" s="93"/>
      <c r="AJ1904" s="93"/>
    </row>
    <row r="1905" spans="30:36" ht="18">
      <c r="AD1905" s="93"/>
      <c r="AE1905" s="214"/>
      <c r="AF1905" s="93"/>
      <c r="AG1905" s="93"/>
      <c r="AH1905" s="93"/>
      <c r="AI1905" s="93"/>
      <c r="AJ1905" s="93"/>
    </row>
    <row r="1906" spans="30:36" ht="18">
      <c r="AD1906" s="93"/>
      <c r="AE1906" s="214"/>
      <c r="AF1906" s="93"/>
      <c r="AG1906" s="93"/>
      <c r="AH1906" s="93"/>
      <c r="AI1906" s="93"/>
      <c r="AJ1906" s="93"/>
    </row>
    <row r="1907" spans="30:36" ht="18">
      <c r="AD1907" s="93"/>
      <c r="AE1907" s="214"/>
      <c r="AF1907" s="93"/>
      <c r="AG1907" s="93"/>
      <c r="AH1907" s="93"/>
      <c r="AI1907" s="93"/>
      <c r="AJ1907" s="93"/>
    </row>
    <row r="1908" spans="30:36" ht="18">
      <c r="AD1908" s="93"/>
      <c r="AE1908" s="214"/>
      <c r="AF1908" s="93"/>
      <c r="AG1908" s="93"/>
      <c r="AH1908" s="93"/>
      <c r="AI1908" s="93"/>
      <c r="AJ1908" s="93"/>
    </row>
    <row r="1909" spans="30:36" ht="18">
      <c r="AD1909" s="93"/>
      <c r="AE1909" s="214"/>
      <c r="AF1909" s="93"/>
      <c r="AG1909" s="93"/>
      <c r="AH1909" s="93"/>
      <c r="AI1909" s="93"/>
      <c r="AJ1909" s="93"/>
    </row>
    <row r="1910" spans="30:36" ht="18">
      <c r="AD1910" s="93"/>
      <c r="AE1910" s="214"/>
      <c r="AF1910" s="93"/>
      <c r="AG1910" s="93"/>
      <c r="AH1910" s="93"/>
      <c r="AI1910" s="93"/>
      <c r="AJ1910" s="93"/>
    </row>
    <row r="1911" spans="30:36" ht="18">
      <c r="AD1911" s="93"/>
      <c r="AE1911" s="214"/>
      <c r="AF1911" s="93"/>
      <c r="AG1911" s="93"/>
      <c r="AH1911" s="93"/>
      <c r="AI1911" s="93"/>
      <c r="AJ1911" s="93"/>
    </row>
    <row r="1912" spans="30:36" ht="18">
      <c r="AD1912" s="93"/>
      <c r="AE1912" s="214"/>
      <c r="AF1912" s="93"/>
      <c r="AG1912" s="93"/>
      <c r="AH1912" s="93"/>
      <c r="AI1912" s="93"/>
      <c r="AJ1912" s="93"/>
    </row>
    <row r="1913" spans="30:36" ht="18">
      <c r="AD1913" s="93"/>
      <c r="AE1913" s="214"/>
      <c r="AF1913" s="93"/>
      <c r="AG1913" s="93"/>
      <c r="AH1913" s="93"/>
      <c r="AI1913" s="93"/>
      <c r="AJ1913" s="93"/>
    </row>
    <row r="1914" spans="30:36" ht="18">
      <c r="AD1914" s="93"/>
      <c r="AE1914" s="214"/>
      <c r="AF1914" s="93"/>
      <c r="AG1914" s="93"/>
      <c r="AH1914" s="93"/>
      <c r="AI1914" s="93"/>
      <c r="AJ1914" s="93"/>
    </row>
    <row r="1915" spans="30:36" ht="18">
      <c r="AD1915" s="93"/>
      <c r="AE1915" s="214"/>
      <c r="AF1915" s="93"/>
      <c r="AG1915" s="93"/>
      <c r="AH1915" s="93"/>
      <c r="AI1915" s="93"/>
      <c r="AJ1915" s="93"/>
    </row>
    <row r="1916" spans="30:36" ht="18">
      <c r="AD1916" s="93"/>
      <c r="AE1916" s="214"/>
      <c r="AF1916" s="93"/>
      <c r="AG1916" s="93"/>
      <c r="AH1916" s="93"/>
      <c r="AI1916" s="93"/>
      <c r="AJ1916" s="93"/>
    </row>
    <row r="1917" spans="30:36" ht="18">
      <c r="AD1917" s="93"/>
      <c r="AE1917" s="214"/>
      <c r="AF1917" s="93"/>
      <c r="AG1917" s="93"/>
      <c r="AH1917" s="93"/>
      <c r="AI1917" s="93"/>
      <c r="AJ1917" s="93"/>
    </row>
    <row r="1918" spans="30:36" ht="18">
      <c r="AD1918" s="93"/>
      <c r="AE1918" s="214"/>
      <c r="AF1918" s="93"/>
      <c r="AG1918" s="93"/>
      <c r="AH1918" s="93"/>
      <c r="AI1918" s="93"/>
      <c r="AJ1918" s="93"/>
    </row>
    <row r="1919" spans="30:36" ht="18">
      <c r="AD1919" s="93"/>
      <c r="AE1919" s="214"/>
      <c r="AF1919" s="93"/>
      <c r="AG1919" s="93"/>
      <c r="AH1919" s="93"/>
      <c r="AI1919" s="93"/>
      <c r="AJ1919" s="93"/>
    </row>
    <row r="1920" spans="30:36" ht="18">
      <c r="AD1920" s="93"/>
      <c r="AE1920" s="214"/>
      <c r="AF1920" s="93"/>
      <c r="AG1920" s="93"/>
      <c r="AH1920" s="93"/>
      <c r="AI1920" s="93"/>
      <c r="AJ1920" s="93"/>
    </row>
    <row r="1921" spans="30:36" ht="18">
      <c r="AD1921" s="93"/>
      <c r="AE1921" s="214"/>
      <c r="AF1921" s="93"/>
      <c r="AG1921" s="93"/>
      <c r="AH1921" s="93"/>
      <c r="AI1921" s="93"/>
      <c r="AJ1921" s="93"/>
    </row>
    <row r="1922" spans="30:36" ht="18">
      <c r="AD1922" s="93"/>
      <c r="AE1922" s="214"/>
      <c r="AF1922" s="93"/>
      <c r="AG1922" s="93"/>
      <c r="AH1922" s="93"/>
      <c r="AI1922" s="93"/>
      <c r="AJ1922" s="93"/>
    </row>
    <row r="1923" spans="30:36" ht="18">
      <c r="AD1923" s="93"/>
      <c r="AE1923" s="214"/>
      <c r="AF1923" s="93"/>
      <c r="AG1923" s="93"/>
      <c r="AH1923" s="93"/>
      <c r="AI1923" s="93"/>
      <c r="AJ1923" s="93"/>
    </row>
    <row r="1924" spans="30:36" ht="18">
      <c r="AD1924" s="93"/>
      <c r="AE1924" s="214"/>
      <c r="AF1924" s="93"/>
      <c r="AG1924" s="93"/>
      <c r="AH1924" s="93"/>
      <c r="AI1924" s="93"/>
      <c r="AJ1924" s="93"/>
    </row>
    <row r="1925" spans="30:36" ht="18">
      <c r="AD1925" s="93"/>
      <c r="AE1925" s="214"/>
      <c r="AF1925" s="93"/>
      <c r="AG1925" s="93"/>
      <c r="AH1925" s="93"/>
      <c r="AI1925" s="93"/>
      <c r="AJ1925" s="93"/>
    </row>
    <row r="1926" spans="30:36" ht="18">
      <c r="AD1926" s="93"/>
      <c r="AE1926" s="214"/>
      <c r="AF1926" s="93"/>
      <c r="AG1926" s="93"/>
      <c r="AH1926" s="93"/>
      <c r="AI1926" s="93"/>
      <c r="AJ1926" s="93"/>
    </row>
    <row r="1927" spans="30:36" ht="18">
      <c r="AD1927" s="93"/>
      <c r="AE1927" s="214"/>
      <c r="AF1927" s="93"/>
      <c r="AG1927" s="93"/>
      <c r="AH1927" s="93"/>
      <c r="AI1927" s="93"/>
      <c r="AJ1927" s="93"/>
    </row>
    <row r="1928" spans="30:36" ht="18">
      <c r="AD1928" s="93"/>
      <c r="AE1928" s="214"/>
      <c r="AF1928" s="93"/>
      <c r="AG1928" s="93"/>
      <c r="AH1928" s="93"/>
      <c r="AI1928" s="93"/>
      <c r="AJ1928" s="93"/>
    </row>
    <row r="1929" spans="30:36" ht="18">
      <c r="AD1929" s="93"/>
      <c r="AE1929" s="214"/>
      <c r="AF1929" s="93"/>
      <c r="AG1929" s="93"/>
      <c r="AH1929" s="93"/>
      <c r="AI1929" s="93"/>
      <c r="AJ1929" s="93"/>
    </row>
    <row r="1930" spans="30:36" ht="18">
      <c r="AD1930" s="93"/>
      <c r="AE1930" s="214"/>
      <c r="AF1930" s="93"/>
      <c r="AG1930" s="93"/>
      <c r="AH1930" s="93"/>
      <c r="AI1930" s="93"/>
      <c r="AJ1930" s="93"/>
    </row>
    <row r="1931" spans="30:36" ht="18">
      <c r="AD1931" s="93"/>
      <c r="AE1931" s="214"/>
      <c r="AF1931" s="93"/>
      <c r="AG1931" s="93"/>
      <c r="AH1931" s="93"/>
      <c r="AI1931" s="93"/>
      <c r="AJ1931" s="93"/>
    </row>
    <row r="1932" spans="30:36" ht="18">
      <c r="AD1932" s="93"/>
      <c r="AE1932" s="214"/>
      <c r="AF1932" s="93"/>
      <c r="AG1932" s="93"/>
      <c r="AH1932" s="93"/>
      <c r="AI1932" s="93"/>
      <c r="AJ1932" s="93"/>
    </row>
    <row r="1933" spans="30:36" ht="18">
      <c r="AD1933" s="93"/>
      <c r="AE1933" s="214"/>
      <c r="AF1933" s="93"/>
      <c r="AG1933" s="93"/>
      <c r="AH1933" s="93"/>
      <c r="AI1933" s="93"/>
      <c r="AJ1933" s="93"/>
    </row>
    <row r="1934" spans="30:36" ht="18">
      <c r="AD1934" s="93"/>
      <c r="AE1934" s="214"/>
      <c r="AF1934" s="93"/>
      <c r="AG1934" s="93"/>
      <c r="AH1934" s="93"/>
      <c r="AI1934" s="93"/>
      <c r="AJ1934" s="93"/>
    </row>
    <row r="1935" spans="30:36" ht="18">
      <c r="AD1935" s="93"/>
      <c r="AE1935" s="214"/>
      <c r="AF1935" s="93"/>
      <c r="AG1935" s="93"/>
      <c r="AH1935" s="93"/>
      <c r="AI1935" s="93"/>
      <c r="AJ1935" s="93"/>
    </row>
    <row r="1936" spans="30:36" ht="18">
      <c r="AD1936" s="93"/>
      <c r="AE1936" s="214"/>
      <c r="AF1936" s="93"/>
      <c r="AG1936" s="93"/>
      <c r="AH1936" s="93"/>
      <c r="AI1936" s="93"/>
      <c r="AJ1936" s="93"/>
    </row>
    <row r="1937" spans="30:36" ht="18">
      <c r="AD1937" s="93"/>
      <c r="AE1937" s="214"/>
      <c r="AF1937" s="93"/>
      <c r="AG1937" s="93"/>
      <c r="AH1937" s="93"/>
      <c r="AI1937" s="93"/>
      <c r="AJ1937" s="93"/>
    </row>
    <row r="1938" spans="30:36" ht="18">
      <c r="AD1938" s="93"/>
      <c r="AE1938" s="214"/>
      <c r="AF1938" s="93"/>
      <c r="AG1938" s="93"/>
      <c r="AH1938" s="93"/>
      <c r="AI1938" s="93"/>
      <c r="AJ1938" s="93"/>
    </row>
    <row r="1939" spans="30:36" ht="18">
      <c r="AD1939" s="93"/>
      <c r="AE1939" s="214"/>
      <c r="AF1939" s="93"/>
      <c r="AG1939" s="93"/>
      <c r="AH1939" s="93"/>
      <c r="AI1939" s="93"/>
      <c r="AJ1939" s="93"/>
    </row>
    <row r="1940" spans="30:36" ht="18">
      <c r="AD1940" s="93"/>
      <c r="AE1940" s="214"/>
      <c r="AF1940" s="93"/>
      <c r="AG1940" s="93"/>
      <c r="AH1940" s="93"/>
      <c r="AI1940" s="93"/>
      <c r="AJ1940" s="93"/>
    </row>
    <row r="1941" spans="30:36" ht="18">
      <c r="AD1941" s="93"/>
      <c r="AE1941" s="214"/>
      <c r="AF1941" s="93"/>
      <c r="AG1941" s="93"/>
      <c r="AH1941" s="93"/>
      <c r="AI1941" s="93"/>
      <c r="AJ1941" s="93"/>
    </row>
    <row r="1942" spans="30:36" ht="18">
      <c r="AD1942" s="93"/>
      <c r="AE1942" s="214"/>
      <c r="AF1942" s="93"/>
      <c r="AG1942" s="93"/>
      <c r="AH1942" s="93"/>
      <c r="AI1942" s="93"/>
      <c r="AJ1942" s="93"/>
    </row>
    <row r="1943" spans="30:36" ht="18">
      <c r="AD1943" s="93"/>
      <c r="AE1943" s="214"/>
      <c r="AF1943" s="93"/>
      <c r="AG1943" s="93"/>
      <c r="AH1943" s="93"/>
      <c r="AI1943" s="93"/>
      <c r="AJ1943" s="93"/>
    </row>
    <row r="1944" spans="30:36" ht="18">
      <c r="AD1944" s="93"/>
      <c r="AE1944" s="214"/>
      <c r="AF1944" s="93"/>
      <c r="AG1944" s="93"/>
      <c r="AH1944" s="93"/>
      <c r="AI1944" s="93"/>
      <c r="AJ1944" s="93"/>
    </row>
    <row r="1945" spans="30:36" ht="18">
      <c r="AD1945" s="93"/>
      <c r="AE1945" s="214"/>
      <c r="AF1945" s="93"/>
      <c r="AG1945" s="93"/>
      <c r="AH1945" s="93"/>
      <c r="AI1945" s="93"/>
      <c r="AJ1945" s="93"/>
    </row>
    <row r="1946" spans="30:36" ht="18">
      <c r="AD1946" s="93"/>
      <c r="AE1946" s="214"/>
      <c r="AF1946" s="93"/>
      <c r="AG1946" s="93"/>
      <c r="AH1946" s="93"/>
      <c r="AI1946" s="93"/>
      <c r="AJ1946" s="93"/>
    </row>
    <row r="1947" spans="30:36" ht="18">
      <c r="AD1947" s="93"/>
      <c r="AE1947" s="214"/>
      <c r="AF1947" s="93"/>
      <c r="AG1947" s="93"/>
      <c r="AH1947" s="93"/>
      <c r="AI1947" s="93"/>
      <c r="AJ1947" s="93"/>
    </row>
    <row r="1948" spans="30:36" ht="18">
      <c r="AD1948" s="93"/>
      <c r="AE1948" s="214"/>
      <c r="AF1948" s="93"/>
      <c r="AG1948" s="93"/>
      <c r="AH1948" s="93"/>
      <c r="AI1948" s="93"/>
      <c r="AJ1948" s="93"/>
    </row>
    <row r="1949" spans="30:36" ht="18">
      <c r="AD1949" s="93"/>
      <c r="AE1949" s="215"/>
      <c r="AF1949" s="93"/>
      <c r="AG1949" s="93"/>
      <c r="AH1949" s="93"/>
      <c r="AI1949" s="93"/>
      <c r="AJ1949" s="93"/>
    </row>
    <row r="1950" spans="30:36" ht="18">
      <c r="AD1950" s="93"/>
      <c r="AE1950" s="215"/>
      <c r="AF1950" s="93"/>
      <c r="AG1950" s="93"/>
      <c r="AH1950" s="93"/>
      <c r="AI1950" s="93"/>
      <c r="AJ1950" s="93"/>
    </row>
    <row r="1951" spans="30:36" ht="18">
      <c r="AD1951" s="93"/>
      <c r="AE1951" s="214"/>
      <c r="AF1951" s="93"/>
      <c r="AG1951" s="93"/>
      <c r="AH1951" s="93"/>
      <c r="AI1951" s="93"/>
      <c r="AJ1951" s="93"/>
    </row>
    <row r="1952" spans="30:36" ht="18">
      <c r="AD1952" s="93"/>
      <c r="AE1952" s="214"/>
      <c r="AF1952" s="93"/>
      <c r="AG1952" s="93"/>
      <c r="AH1952" s="93"/>
      <c r="AI1952" s="93"/>
      <c r="AJ1952" s="93"/>
    </row>
    <row r="1953" spans="30:36" ht="18">
      <c r="AD1953" s="93"/>
      <c r="AE1953" s="214"/>
      <c r="AF1953" s="93"/>
      <c r="AG1953" s="93"/>
      <c r="AH1953" s="93"/>
      <c r="AI1953" s="93"/>
      <c r="AJ1953" s="93"/>
    </row>
    <row r="1954" spans="30:36" ht="18">
      <c r="AD1954" s="93"/>
      <c r="AE1954" s="215"/>
      <c r="AF1954" s="93"/>
      <c r="AG1954" s="93"/>
      <c r="AH1954" s="93"/>
      <c r="AI1954" s="93"/>
      <c r="AJ1954" s="93"/>
    </row>
    <row r="1955" spans="30:36" ht="18">
      <c r="AD1955" s="93"/>
      <c r="AE1955" s="214"/>
      <c r="AF1955" s="93"/>
      <c r="AG1955" s="93"/>
      <c r="AH1955" s="93"/>
      <c r="AI1955" s="93"/>
      <c r="AJ1955" s="93"/>
    </row>
    <row r="1956" spans="30:36" ht="18">
      <c r="AD1956" s="93"/>
      <c r="AE1956" s="214"/>
      <c r="AF1956" s="93"/>
      <c r="AG1956" s="93"/>
      <c r="AH1956" s="93"/>
      <c r="AI1956" s="93"/>
      <c r="AJ1956" s="93"/>
    </row>
    <row r="1957" spans="30:36" ht="18">
      <c r="AD1957" s="93"/>
      <c r="AE1957" s="214"/>
      <c r="AF1957" s="93"/>
      <c r="AG1957" s="93"/>
      <c r="AH1957" s="93"/>
      <c r="AI1957" s="93"/>
      <c r="AJ1957" s="93"/>
    </row>
    <row r="1958" spans="30:36" ht="18">
      <c r="AD1958" s="93"/>
      <c r="AE1958" s="214"/>
      <c r="AF1958" s="93"/>
      <c r="AG1958" s="93"/>
      <c r="AH1958" s="93"/>
      <c r="AI1958" s="93"/>
      <c r="AJ1958" s="93"/>
    </row>
    <row r="1959" spans="30:36" ht="18">
      <c r="AD1959" s="93"/>
      <c r="AE1959" s="215"/>
      <c r="AF1959" s="93"/>
      <c r="AG1959" s="93"/>
      <c r="AH1959" s="93"/>
      <c r="AI1959" s="93"/>
      <c r="AJ1959" s="93"/>
    </row>
    <row r="1960" spans="30:36" ht="18">
      <c r="AD1960" s="93"/>
      <c r="AE1960" s="215"/>
      <c r="AF1960" s="93"/>
      <c r="AG1960" s="93"/>
      <c r="AH1960" s="93"/>
      <c r="AI1960" s="93"/>
      <c r="AJ1960" s="93"/>
    </row>
    <row r="1961" spans="30:36" ht="18">
      <c r="AD1961" s="93"/>
      <c r="AE1961" s="214"/>
      <c r="AF1961" s="93"/>
      <c r="AG1961" s="93"/>
      <c r="AH1961" s="93"/>
      <c r="AI1961" s="93"/>
      <c r="AJ1961" s="93"/>
    </row>
    <row r="1962" spans="30:36" ht="18">
      <c r="AD1962" s="93"/>
      <c r="AE1962" s="214"/>
      <c r="AF1962" s="93"/>
      <c r="AG1962" s="93"/>
      <c r="AH1962" s="93"/>
      <c r="AI1962" s="93"/>
      <c r="AJ1962" s="93"/>
    </row>
    <row r="1963" spans="30:36" ht="18">
      <c r="AD1963" s="93"/>
      <c r="AE1963" s="214"/>
      <c r="AF1963" s="93"/>
      <c r="AG1963" s="93"/>
      <c r="AH1963" s="93"/>
      <c r="AI1963" s="93"/>
      <c r="AJ1963" s="93"/>
    </row>
    <row r="1964" spans="30:36" ht="18">
      <c r="AD1964" s="93"/>
      <c r="AE1964" s="214"/>
      <c r="AF1964" s="93"/>
      <c r="AG1964" s="93"/>
      <c r="AH1964" s="93"/>
      <c r="AI1964" s="93"/>
      <c r="AJ1964" s="93"/>
    </row>
    <row r="1965" spans="30:36" ht="18">
      <c r="AD1965" s="93"/>
      <c r="AE1965" s="214"/>
      <c r="AF1965" s="93"/>
      <c r="AG1965" s="93"/>
      <c r="AH1965" s="93"/>
      <c r="AI1965" s="93"/>
      <c r="AJ1965" s="93"/>
    </row>
    <row r="1966" spans="30:36" ht="18">
      <c r="AD1966" s="93"/>
      <c r="AE1966" s="214"/>
      <c r="AF1966" s="93"/>
      <c r="AG1966" s="93"/>
      <c r="AH1966" s="93"/>
      <c r="AI1966" s="93"/>
      <c r="AJ1966" s="93"/>
    </row>
    <row r="1967" spans="30:36" ht="18">
      <c r="AD1967" s="93"/>
      <c r="AE1967" s="214"/>
      <c r="AF1967" s="93"/>
      <c r="AG1967" s="93"/>
      <c r="AH1967" s="93"/>
      <c r="AI1967" s="93"/>
      <c r="AJ1967" s="93"/>
    </row>
    <row r="1968" spans="30:36" ht="18">
      <c r="AD1968" s="93"/>
      <c r="AE1968" s="214"/>
      <c r="AF1968" s="93"/>
      <c r="AG1968" s="93"/>
      <c r="AH1968" s="93"/>
      <c r="AI1968" s="93"/>
      <c r="AJ1968" s="93"/>
    </row>
    <row r="1969" spans="30:36" ht="18">
      <c r="AD1969" s="93"/>
      <c r="AE1969" s="214"/>
      <c r="AF1969" s="93"/>
      <c r="AG1969" s="93"/>
      <c r="AH1969" s="93"/>
      <c r="AI1969" s="93"/>
      <c r="AJ1969" s="93"/>
    </row>
    <row r="1970" spans="30:36" ht="18">
      <c r="AD1970" s="93"/>
      <c r="AE1970" s="214"/>
      <c r="AF1970" s="93"/>
      <c r="AG1970" s="93"/>
      <c r="AH1970" s="93"/>
      <c r="AI1970" s="93"/>
      <c r="AJ1970" s="93"/>
    </row>
    <row r="1971" spans="30:36" ht="18">
      <c r="AD1971" s="93"/>
      <c r="AE1971" s="214"/>
      <c r="AF1971" s="93"/>
      <c r="AG1971" s="93"/>
      <c r="AH1971" s="93"/>
      <c r="AI1971" s="93"/>
      <c r="AJ1971" s="93"/>
    </row>
    <row r="1972" spans="30:36" ht="18">
      <c r="AD1972" s="93"/>
      <c r="AE1972" s="215"/>
      <c r="AF1972" s="93"/>
      <c r="AG1972" s="93"/>
      <c r="AH1972" s="93"/>
      <c r="AI1972" s="93"/>
      <c r="AJ1972" s="93"/>
    </row>
    <row r="1973" spans="30:36" ht="18">
      <c r="AD1973" s="93"/>
      <c r="AE1973" s="215"/>
      <c r="AF1973" s="93"/>
      <c r="AG1973" s="93"/>
      <c r="AH1973" s="93"/>
      <c r="AI1973" s="93"/>
      <c r="AJ1973" s="93"/>
    </row>
    <row r="1974" spans="30:36" ht="18">
      <c r="AD1974" s="93"/>
      <c r="AE1974" s="214"/>
      <c r="AF1974" s="93"/>
      <c r="AG1974" s="93"/>
      <c r="AH1974" s="93"/>
      <c r="AI1974" s="93"/>
      <c r="AJ1974" s="93"/>
    </row>
    <row r="1975" spans="30:36" ht="18">
      <c r="AD1975" s="93"/>
      <c r="AE1975" s="214"/>
      <c r="AF1975" s="93"/>
      <c r="AG1975" s="93"/>
      <c r="AH1975" s="93"/>
      <c r="AI1975" s="93"/>
      <c r="AJ1975" s="93"/>
    </row>
    <row r="1976" spans="30:36" ht="18">
      <c r="AD1976" s="93"/>
      <c r="AE1976" s="214"/>
      <c r="AF1976" s="93"/>
      <c r="AG1976" s="93"/>
      <c r="AH1976" s="93"/>
      <c r="AI1976" s="93"/>
      <c r="AJ1976" s="93"/>
    </row>
    <row r="1977" spans="30:36" ht="18">
      <c r="AD1977" s="93"/>
      <c r="AE1977" s="214"/>
      <c r="AF1977" s="93"/>
      <c r="AG1977" s="93"/>
      <c r="AH1977" s="93"/>
      <c r="AI1977" s="93"/>
      <c r="AJ1977" s="93"/>
    </row>
    <row r="1978" spans="30:36" ht="18">
      <c r="AD1978" s="93"/>
      <c r="AE1978" s="214"/>
      <c r="AF1978" s="93"/>
      <c r="AG1978" s="93"/>
      <c r="AH1978" s="93"/>
      <c r="AI1978" s="93"/>
      <c r="AJ1978" s="93"/>
    </row>
    <row r="1979" spans="30:36" ht="18">
      <c r="AD1979" s="93"/>
      <c r="AE1979" s="215"/>
      <c r="AF1979" s="93"/>
      <c r="AG1979" s="93"/>
      <c r="AH1979" s="93"/>
      <c r="AI1979" s="93"/>
      <c r="AJ1979" s="93"/>
    </row>
    <row r="1980" spans="30:36" ht="18">
      <c r="AD1980" s="93"/>
      <c r="AE1980" s="215"/>
      <c r="AF1980" s="93"/>
      <c r="AG1980" s="93"/>
      <c r="AH1980" s="93"/>
      <c r="AI1980" s="93"/>
      <c r="AJ1980" s="93"/>
    </row>
    <row r="1981" spans="30:36" ht="18">
      <c r="AD1981" s="93"/>
      <c r="AE1981" s="215"/>
      <c r="AF1981" s="93"/>
      <c r="AG1981" s="93"/>
      <c r="AH1981" s="93"/>
      <c r="AI1981" s="93"/>
      <c r="AJ1981" s="93"/>
    </row>
    <row r="1982" spans="30:36" ht="18">
      <c r="AD1982" s="93"/>
      <c r="AE1982" s="214"/>
      <c r="AF1982" s="93"/>
      <c r="AG1982" s="93"/>
      <c r="AH1982" s="93"/>
      <c r="AI1982" s="93"/>
      <c r="AJ1982" s="93"/>
    </row>
    <row r="1983" spans="30:36" ht="18">
      <c r="AD1983" s="93"/>
      <c r="AE1983" s="214"/>
      <c r="AF1983" s="93"/>
      <c r="AG1983" s="93"/>
      <c r="AH1983" s="93"/>
      <c r="AI1983" s="93"/>
      <c r="AJ1983" s="93"/>
    </row>
    <row r="1984" spans="30:36" ht="18">
      <c r="AD1984" s="93"/>
      <c r="AE1984" s="215"/>
      <c r="AF1984" s="93"/>
      <c r="AG1984" s="93"/>
      <c r="AH1984" s="93"/>
      <c r="AI1984" s="93"/>
      <c r="AJ1984" s="93"/>
    </row>
    <row r="1985" spans="30:36" ht="18">
      <c r="AD1985" s="93"/>
      <c r="AE1985" s="214"/>
      <c r="AF1985" s="93"/>
      <c r="AG1985" s="93"/>
      <c r="AH1985" s="93"/>
      <c r="AI1985" s="93"/>
      <c r="AJ1985" s="93"/>
    </row>
    <row r="1986" spans="30:36" ht="18">
      <c r="AD1986" s="93"/>
      <c r="AE1986" s="214"/>
      <c r="AF1986" s="93"/>
      <c r="AG1986" s="93"/>
      <c r="AH1986" s="93"/>
      <c r="AI1986" s="93"/>
      <c r="AJ1986" s="93"/>
    </row>
    <row r="1987" spans="30:36" ht="18">
      <c r="AD1987" s="93"/>
      <c r="AE1987" s="215"/>
      <c r="AF1987" s="93"/>
      <c r="AG1987" s="93"/>
      <c r="AH1987" s="93"/>
      <c r="AI1987" s="93"/>
      <c r="AJ1987" s="93"/>
    </row>
    <row r="1988" spans="30:36" ht="18">
      <c r="AD1988" s="93"/>
      <c r="AE1988" s="215"/>
      <c r="AF1988" s="93"/>
      <c r="AG1988" s="93"/>
      <c r="AH1988" s="93"/>
      <c r="AI1988" s="93"/>
      <c r="AJ1988" s="93"/>
    </row>
    <row r="1989" spans="30:36" ht="18">
      <c r="AD1989" s="93"/>
      <c r="AE1989" s="214"/>
      <c r="AF1989" s="93"/>
      <c r="AG1989" s="93"/>
      <c r="AH1989" s="93"/>
      <c r="AI1989" s="93"/>
      <c r="AJ1989" s="93"/>
    </row>
    <row r="1990" spans="30:36" ht="18">
      <c r="AD1990" s="93"/>
      <c r="AE1990" s="214"/>
      <c r="AF1990" s="93"/>
      <c r="AG1990" s="93"/>
      <c r="AH1990" s="93"/>
      <c r="AI1990" s="93"/>
      <c r="AJ1990" s="93"/>
    </row>
    <row r="1991" spans="30:36" ht="18">
      <c r="AD1991" s="93"/>
      <c r="AE1991" s="215"/>
      <c r="AF1991" s="93"/>
      <c r="AG1991" s="93"/>
      <c r="AH1991" s="93"/>
      <c r="AI1991" s="93"/>
      <c r="AJ1991" s="93"/>
    </row>
    <row r="1992" spans="30:36" ht="18">
      <c r="AD1992" s="93"/>
      <c r="AE1992" s="214"/>
      <c r="AF1992" s="93"/>
      <c r="AG1992" s="93"/>
      <c r="AH1992" s="93"/>
      <c r="AI1992" s="93"/>
      <c r="AJ1992" s="93"/>
    </row>
    <row r="1993" spans="30:36" ht="18">
      <c r="AD1993" s="93"/>
      <c r="AE1993" s="214"/>
      <c r="AF1993" s="93"/>
      <c r="AG1993" s="93"/>
      <c r="AH1993" s="93"/>
      <c r="AI1993" s="93"/>
      <c r="AJ1993" s="93"/>
    </row>
    <row r="1994" spans="30:36" ht="18">
      <c r="AD1994" s="93"/>
      <c r="AE1994" s="214"/>
      <c r="AF1994" s="93"/>
      <c r="AG1994" s="93"/>
      <c r="AH1994" s="93"/>
      <c r="AI1994" s="93"/>
      <c r="AJ1994" s="93"/>
    </row>
    <row r="1995" spans="30:36" ht="18">
      <c r="AD1995" s="93"/>
      <c r="AE1995" s="214"/>
      <c r="AF1995" s="93"/>
      <c r="AG1995" s="93"/>
      <c r="AH1995" s="93"/>
      <c r="AI1995" s="93"/>
      <c r="AJ1995" s="93"/>
    </row>
    <row r="1996" spans="30:36" ht="18">
      <c r="AD1996" s="93"/>
      <c r="AE1996" s="214"/>
      <c r="AF1996" s="93"/>
      <c r="AG1996" s="93"/>
      <c r="AH1996" s="93"/>
      <c r="AI1996" s="93"/>
      <c r="AJ1996" s="93"/>
    </row>
    <row r="1997" spans="30:36" ht="18">
      <c r="AD1997" s="93"/>
      <c r="AE1997" s="215"/>
      <c r="AF1997" s="93"/>
      <c r="AG1997" s="93"/>
      <c r="AH1997" s="93"/>
      <c r="AI1997" s="93"/>
      <c r="AJ1997" s="93"/>
    </row>
    <row r="1998" spans="30:36" ht="18">
      <c r="AD1998" s="93"/>
      <c r="AE1998" s="214"/>
      <c r="AF1998" s="93"/>
      <c r="AG1998" s="93"/>
      <c r="AH1998" s="93"/>
      <c r="AI1998" s="93"/>
      <c r="AJ1998" s="93"/>
    </row>
    <row r="1999" spans="30:36" ht="18">
      <c r="AD1999" s="93"/>
      <c r="AE1999" s="214"/>
      <c r="AF1999" s="93"/>
      <c r="AG1999" s="93"/>
      <c r="AH1999" s="93"/>
      <c r="AI1999" s="93"/>
      <c r="AJ1999" s="93"/>
    </row>
    <row r="2000" spans="30:36" ht="18">
      <c r="AD2000" s="93"/>
      <c r="AE2000" s="214"/>
      <c r="AF2000" s="93"/>
      <c r="AG2000" s="93"/>
      <c r="AH2000" s="93"/>
      <c r="AI2000" s="93"/>
      <c r="AJ2000" s="93"/>
    </row>
    <row r="2001" spans="30:36" ht="18">
      <c r="AD2001" s="93"/>
      <c r="AE2001" s="214"/>
      <c r="AF2001" s="93"/>
      <c r="AG2001" s="93"/>
      <c r="AH2001" s="93"/>
      <c r="AI2001" s="93"/>
      <c r="AJ2001" s="93"/>
    </row>
    <row r="2002" spans="30:36" ht="18">
      <c r="AD2002" s="93"/>
      <c r="AE2002" s="215"/>
      <c r="AF2002" s="93"/>
      <c r="AG2002" s="93"/>
      <c r="AH2002" s="93"/>
      <c r="AI2002" s="93"/>
      <c r="AJ2002" s="93"/>
    </row>
    <row r="2003" spans="30:36" ht="18">
      <c r="AD2003" s="93"/>
      <c r="AE2003" s="215"/>
      <c r="AF2003" s="93"/>
      <c r="AG2003" s="93"/>
      <c r="AH2003" s="93"/>
      <c r="AI2003" s="93"/>
      <c r="AJ2003" s="93"/>
    </row>
    <row r="2004" spans="30:36" ht="18">
      <c r="AD2004" s="93"/>
      <c r="AE2004" s="214"/>
      <c r="AF2004" s="93"/>
      <c r="AG2004" s="93"/>
      <c r="AH2004" s="93"/>
      <c r="AI2004" s="93"/>
      <c r="AJ2004" s="93"/>
    </row>
    <row r="2005" spans="30:36" ht="18">
      <c r="AD2005" s="93"/>
      <c r="AE2005" s="214"/>
      <c r="AF2005" s="93"/>
      <c r="AG2005" s="93"/>
      <c r="AH2005" s="93"/>
      <c r="AI2005" s="93"/>
      <c r="AJ2005" s="93"/>
    </row>
    <row r="2006" spans="30:36" ht="18">
      <c r="AD2006" s="93"/>
      <c r="AE2006" s="214"/>
      <c r="AF2006" s="93"/>
      <c r="AG2006" s="93"/>
      <c r="AH2006" s="93"/>
      <c r="AI2006" s="93"/>
      <c r="AJ2006" s="93"/>
    </row>
    <row r="2007" spans="30:36" ht="18">
      <c r="AD2007" s="93"/>
      <c r="AE2007" s="214"/>
      <c r="AF2007" s="93"/>
      <c r="AG2007" s="93"/>
      <c r="AH2007" s="93"/>
      <c r="AI2007" s="93"/>
      <c r="AJ2007" s="93"/>
    </row>
    <row r="2008" spans="30:36" ht="18">
      <c r="AD2008" s="93"/>
      <c r="AE2008" s="214"/>
      <c r="AF2008" s="93"/>
      <c r="AG2008" s="93"/>
      <c r="AH2008" s="93"/>
      <c r="AI2008" s="93"/>
      <c r="AJ2008" s="93"/>
    </row>
    <row r="2009" spans="30:36" ht="18">
      <c r="AD2009" s="93"/>
      <c r="AE2009" s="214"/>
      <c r="AF2009" s="93"/>
      <c r="AG2009" s="93"/>
      <c r="AH2009" s="93"/>
      <c r="AI2009" s="93"/>
      <c r="AJ2009" s="93"/>
    </row>
    <row r="2010" spans="30:36" ht="18">
      <c r="AD2010" s="93"/>
      <c r="AE2010" s="215"/>
      <c r="AF2010" s="93"/>
      <c r="AG2010" s="93"/>
      <c r="AH2010" s="93"/>
      <c r="AI2010" s="93"/>
      <c r="AJ2010" s="93"/>
    </row>
    <row r="2011" spans="30:36" ht="18">
      <c r="AD2011" s="93"/>
      <c r="AE2011" s="215"/>
      <c r="AF2011" s="93"/>
      <c r="AG2011" s="93"/>
      <c r="AH2011" s="93"/>
      <c r="AI2011" s="93"/>
      <c r="AJ2011" s="93"/>
    </row>
    <row r="2012" spans="30:36" ht="18">
      <c r="AD2012" s="93"/>
      <c r="AE2012" s="215"/>
      <c r="AF2012" s="93"/>
      <c r="AG2012" s="93"/>
      <c r="AH2012" s="93"/>
      <c r="AI2012" s="93"/>
      <c r="AJ2012" s="93"/>
    </row>
    <row r="2013" spans="30:36" ht="18">
      <c r="AD2013" s="93"/>
      <c r="AE2013" s="214"/>
      <c r="AF2013" s="93"/>
      <c r="AG2013" s="93"/>
      <c r="AH2013" s="93"/>
      <c r="AI2013" s="93"/>
      <c r="AJ2013" s="93"/>
    </row>
    <row r="2014" spans="30:36" ht="18">
      <c r="AD2014" s="93"/>
      <c r="AE2014" s="214"/>
      <c r="AF2014" s="93"/>
      <c r="AG2014" s="93"/>
      <c r="AH2014" s="93"/>
      <c r="AI2014" s="93"/>
      <c r="AJ2014" s="93"/>
    </row>
    <row r="2015" spans="30:36" ht="18">
      <c r="AD2015" s="93"/>
      <c r="AE2015" s="215"/>
      <c r="AF2015" s="93"/>
      <c r="AG2015" s="93"/>
      <c r="AH2015" s="93"/>
      <c r="AI2015" s="93"/>
      <c r="AJ2015" s="93"/>
    </row>
    <row r="2016" spans="30:36" ht="18">
      <c r="AD2016" s="93"/>
      <c r="AE2016" s="214"/>
      <c r="AF2016" s="93"/>
      <c r="AG2016" s="93"/>
      <c r="AH2016" s="93"/>
      <c r="AI2016" s="93"/>
      <c r="AJ2016" s="93"/>
    </row>
    <row r="2017" spans="30:36" ht="18">
      <c r="AD2017" s="93"/>
      <c r="AE2017" s="214"/>
      <c r="AF2017" s="93"/>
      <c r="AG2017" s="93"/>
      <c r="AH2017" s="93"/>
      <c r="AI2017" s="93"/>
      <c r="AJ2017" s="93"/>
    </row>
    <row r="2018" spans="30:36" ht="18">
      <c r="AD2018" s="93"/>
      <c r="AE2018" s="215"/>
      <c r="AF2018" s="93"/>
      <c r="AG2018" s="93"/>
      <c r="AH2018" s="93"/>
      <c r="AI2018" s="93"/>
      <c r="AJ2018" s="93"/>
    </row>
    <row r="2019" spans="30:36" ht="18">
      <c r="AD2019" s="93"/>
      <c r="AE2019" s="214"/>
      <c r="AF2019" s="93"/>
      <c r="AG2019" s="93"/>
      <c r="AH2019" s="93"/>
      <c r="AI2019" s="93"/>
      <c r="AJ2019" s="93"/>
    </row>
    <row r="2020" spans="30:36" ht="18">
      <c r="AD2020" s="93"/>
      <c r="AE2020" s="214"/>
      <c r="AF2020" s="93"/>
      <c r="AG2020" s="93"/>
      <c r="AH2020" s="93"/>
      <c r="AI2020" s="93"/>
      <c r="AJ2020" s="93"/>
    </row>
    <row r="2021" spans="30:36" ht="18">
      <c r="AD2021" s="93"/>
      <c r="AE2021" s="214"/>
      <c r="AF2021" s="93"/>
      <c r="AG2021" s="93"/>
      <c r="AH2021" s="93"/>
      <c r="AI2021" s="93"/>
      <c r="AJ2021" s="93"/>
    </row>
    <row r="2022" spans="30:36" ht="18">
      <c r="AD2022" s="93"/>
      <c r="AE2022" s="214"/>
      <c r="AF2022" s="93"/>
      <c r="AG2022" s="93"/>
      <c r="AH2022" s="93"/>
      <c r="AI2022" s="93"/>
      <c r="AJ2022" s="93"/>
    </row>
    <row r="2023" spans="30:36" ht="18">
      <c r="AD2023" s="93"/>
      <c r="AE2023" s="214"/>
      <c r="AF2023" s="93"/>
      <c r="AG2023" s="93"/>
      <c r="AH2023" s="93"/>
      <c r="AI2023" s="93"/>
      <c r="AJ2023" s="93"/>
    </row>
    <row r="2024" spans="30:36" ht="18">
      <c r="AD2024" s="93"/>
      <c r="AE2024" s="214"/>
      <c r="AF2024" s="93"/>
      <c r="AG2024" s="93"/>
      <c r="AH2024" s="93"/>
      <c r="AI2024" s="93"/>
      <c r="AJ2024" s="93"/>
    </row>
    <row r="2025" spans="30:36" ht="18">
      <c r="AD2025" s="93"/>
      <c r="AE2025" s="214"/>
      <c r="AF2025" s="93"/>
      <c r="AG2025" s="93"/>
      <c r="AH2025" s="93"/>
      <c r="AI2025" s="93"/>
      <c r="AJ2025" s="93"/>
    </row>
    <row r="2026" spans="30:36" ht="18">
      <c r="AD2026" s="93"/>
      <c r="AE2026" s="214"/>
      <c r="AF2026" s="93"/>
      <c r="AG2026" s="93"/>
      <c r="AH2026" s="93"/>
      <c r="AI2026" s="93"/>
      <c r="AJ2026" s="93"/>
    </row>
    <row r="2027" spans="30:36" ht="18">
      <c r="AD2027" s="93"/>
      <c r="AE2027" s="214"/>
      <c r="AF2027" s="93"/>
      <c r="AG2027" s="93"/>
      <c r="AH2027" s="93"/>
      <c r="AI2027" s="93"/>
      <c r="AJ2027" s="93"/>
    </row>
    <row r="2028" spans="30:36" ht="18">
      <c r="AD2028" s="93"/>
      <c r="AE2028" s="214"/>
      <c r="AF2028" s="93"/>
      <c r="AG2028" s="93"/>
      <c r="AH2028" s="93"/>
      <c r="AI2028" s="93"/>
      <c r="AJ2028" s="93"/>
    </row>
    <row r="2029" spans="30:36" ht="18">
      <c r="AD2029" s="93"/>
      <c r="AE2029" s="214"/>
      <c r="AF2029" s="93"/>
      <c r="AG2029" s="93"/>
      <c r="AH2029" s="93"/>
      <c r="AI2029" s="93"/>
      <c r="AJ2029" s="93"/>
    </row>
    <row r="2030" spans="30:36" ht="18">
      <c r="AD2030" s="93"/>
      <c r="AE2030" s="214"/>
      <c r="AF2030" s="93"/>
      <c r="AG2030" s="93"/>
      <c r="AH2030" s="93"/>
      <c r="AI2030" s="93"/>
      <c r="AJ2030" s="93"/>
    </row>
    <row r="2031" spans="30:36" ht="18">
      <c r="AD2031" s="93"/>
      <c r="AE2031" s="214"/>
      <c r="AF2031" s="93"/>
      <c r="AG2031" s="93"/>
      <c r="AH2031" s="93"/>
      <c r="AI2031" s="93"/>
      <c r="AJ2031" s="93"/>
    </row>
    <row r="2032" spans="30:36" ht="18">
      <c r="AD2032" s="93"/>
      <c r="AE2032" s="214"/>
      <c r="AF2032" s="93"/>
      <c r="AG2032" s="93"/>
      <c r="AH2032" s="93"/>
      <c r="AI2032" s="93"/>
      <c r="AJ2032" s="93"/>
    </row>
    <row r="2033" spans="30:36" ht="18">
      <c r="AD2033" s="93"/>
      <c r="AE2033" s="214"/>
      <c r="AF2033" s="93"/>
      <c r="AG2033" s="93"/>
      <c r="AH2033" s="93"/>
      <c r="AI2033" s="93"/>
      <c r="AJ2033" s="93"/>
    </row>
    <row r="2034" spans="30:36" ht="18">
      <c r="AD2034" s="93"/>
      <c r="AE2034" s="214"/>
      <c r="AF2034" s="93"/>
      <c r="AG2034" s="93"/>
      <c r="AH2034" s="93"/>
      <c r="AI2034" s="93"/>
      <c r="AJ2034" s="93"/>
    </row>
    <row r="2035" spans="30:36" ht="18">
      <c r="AD2035" s="93"/>
      <c r="AE2035" s="214"/>
      <c r="AF2035" s="93"/>
      <c r="AG2035" s="93"/>
      <c r="AH2035" s="93"/>
      <c r="AI2035" s="93"/>
      <c r="AJ2035" s="93"/>
    </row>
    <row r="2036" spans="30:36" ht="18">
      <c r="AD2036" s="93"/>
      <c r="AE2036" s="214"/>
      <c r="AF2036" s="93"/>
      <c r="AG2036" s="93"/>
      <c r="AH2036" s="93"/>
      <c r="AI2036" s="93"/>
      <c r="AJ2036" s="93"/>
    </row>
    <row r="2037" spans="30:36" ht="18">
      <c r="AD2037" s="93"/>
      <c r="AE2037" s="214"/>
      <c r="AF2037" s="93"/>
      <c r="AG2037" s="93"/>
      <c r="AH2037" s="93"/>
      <c r="AI2037" s="93"/>
      <c r="AJ2037" s="93"/>
    </row>
    <row r="2038" spans="30:36" ht="18">
      <c r="AD2038" s="93"/>
      <c r="AE2038" s="214"/>
      <c r="AF2038" s="93"/>
      <c r="AG2038" s="93"/>
      <c r="AH2038" s="93"/>
      <c r="AI2038" s="93"/>
      <c r="AJ2038" s="93"/>
    </row>
    <row r="2039" spans="30:36" ht="18">
      <c r="AD2039" s="93"/>
      <c r="AE2039" s="214"/>
      <c r="AF2039" s="93"/>
      <c r="AG2039" s="93"/>
      <c r="AH2039" s="93"/>
      <c r="AI2039" s="93"/>
      <c r="AJ2039" s="93"/>
    </row>
    <row r="2040" spans="30:36" ht="18">
      <c r="AD2040" s="93"/>
      <c r="AE2040" s="214"/>
      <c r="AF2040" s="93"/>
      <c r="AG2040" s="93"/>
      <c r="AH2040" s="93"/>
      <c r="AI2040" s="93"/>
      <c r="AJ2040" s="93"/>
    </row>
    <row r="2041" spans="30:36" ht="18">
      <c r="AD2041" s="93"/>
      <c r="AE2041" s="214"/>
      <c r="AF2041" s="93"/>
      <c r="AG2041" s="93"/>
      <c r="AH2041" s="93"/>
      <c r="AI2041" s="93"/>
      <c r="AJ2041" s="93"/>
    </row>
    <row r="2042" spans="30:36" ht="18">
      <c r="AD2042" s="93"/>
      <c r="AE2042" s="214"/>
      <c r="AF2042" s="93"/>
      <c r="AG2042" s="93"/>
      <c r="AH2042" s="93"/>
      <c r="AI2042" s="93"/>
      <c r="AJ2042" s="93"/>
    </row>
    <row r="2043" spans="30:36" ht="18">
      <c r="AD2043" s="93"/>
      <c r="AE2043" s="214"/>
      <c r="AF2043" s="93"/>
      <c r="AG2043" s="93"/>
      <c r="AH2043" s="93"/>
      <c r="AI2043" s="93"/>
      <c r="AJ2043" s="93"/>
    </row>
    <row r="2044" spans="30:36" ht="18">
      <c r="AD2044" s="93"/>
      <c r="AE2044" s="214"/>
      <c r="AF2044" s="93"/>
      <c r="AG2044" s="93"/>
      <c r="AH2044" s="93"/>
      <c r="AI2044" s="93"/>
      <c r="AJ2044" s="93"/>
    </row>
    <row r="2045" spans="30:36" ht="18">
      <c r="AD2045" s="93"/>
      <c r="AE2045" s="214"/>
      <c r="AF2045" s="93"/>
      <c r="AG2045" s="93"/>
      <c r="AH2045" s="93"/>
      <c r="AI2045" s="93"/>
      <c r="AJ2045" s="93"/>
    </row>
    <row r="2046" spans="30:36" ht="18">
      <c r="AD2046" s="93"/>
      <c r="AE2046" s="214"/>
      <c r="AF2046" s="93"/>
      <c r="AG2046" s="93"/>
      <c r="AH2046" s="93"/>
      <c r="AI2046" s="93"/>
      <c r="AJ2046" s="93"/>
    </row>
    <row r="2047" spans="30:36" ht="18">
      <c r="AD2047" s="93"/>
      <c r="AE2047" s="214"/>
      <c r="AF2047" s="93"/>
      <c r="AG2047" s="93"/>
      <c r="AH2047" s="93"/>
      <c r="AI2047" s="93"/>
      <c r="AJ2047" s="93"/>
    </row>
    <row r="2048" spans="30:36" ht="18">
      <c r="AD2048" s="93"/>
      <c r="AE2048" s="214"/>
      <c r="AF2048" s="93"/>
      <c r="AG2048" s="93"/>
      <c r="AH2048" s="93"/>
      <c r="AI2048" s="93"/>
      <c r="AJ2048" s="93"/>
    </row>
    <row r="2049" spans="30:36" ht="18">
      <c r="AD2049" s="93"/>
      <c r="AE2049" s="214"/>
      <c r="AF2049" s="93"/>
      <c r="AG2049" s="93"/>
      <c r="AH2049" s="93"/>
      <c r="AI2049" s="93"/>
      <c r="AJ2049" s="93"/>
    </row>
    <row r="2050" spans="30:36" ht="18">
      <c r="AD2050" s="93"/>
      <c r="AE2050" s="214"/>
      <c r="AF2050" s="93"/>
      <c r="AG2050" s="93"/>
      <c r="AH2050" s="93"/>
      <c r="AI2050" s="93"/>
      <c r="AJ2050" s="93"/>
    </row>
    <row r="2051" spans="30:36" ht="18">
      <c r="AD2051" s="93"/>
      <c r="AE2051" s="214"/>
      <c r="AF2051" s="93"/>
      <c r="AG2051" s="93"/>
      <c r="AH2051" s="93"/>
      <c r="AI2051" s="93"/>
      <c r="AJ2051" s="93"/>
    </row>
    <row r="2052" spans="30:36" ht="18">
      <c r="AD2052" s="93"/>
      <c r="AE2052" s="214"/>
      <c r="AF2052" s="93"/>
      <c r="AG2052" s="93"/>
      <c r="AH2052" s="93"/>
      <c r="AI2052" s="93"/>
      <c r="AJ2052" s="93"/>
    </row>
    <row r="2053" spans="30:36" ht="18">
      <c r="AD2053" s="93"/>
      <c r="AE2053" s="214"/>
      <c r="AF2053" s="93"/>
      <c r="AG2053" s="93"/>
      <c r="AH2053" s="93"/>
      <c r="AI2053" s="93"/>
      <c r="AJ2053" s="93"/>
    </row>
    <row r="2054" spans="30:36" ht="18">
      <c r="AD2054" s="93"/>
      <c r="AE2054" s="214"/>
      <c r="AF2054" s="93"/>
      <c r="AG2054" s="93"/>
      <c r="AH2054" s="93"/>
      <c r="AI2054" s="93"/>
      <c r="AJ2054" s="93"/>
    </row>
    <row r="2055" spans="30:36" ht="18">
      <c r="AD2055" s="93"/>
      <c r="AE2055" s="214"/>
      <c r="AF2055" s="93"/>
      <c r="AG2055" s="93"/>
      <c r="AH2055" s="93"/>
      <c r="AI2055" s="93"/>
      <c r="AJ2055" s="93"/>
    </row>
    <row r="2056" spans="30:36" ht="18">
      <c r="AD2056" s="93"/>
      <c r="AE2056" s="214"/>
      <c r="AF2056" s="93"/>
      <c r="AG2056" s="93"/>
      <c r="AH2056" s="93"/>
      <c r="AI2056" s="93"/>
      <c r="AJ2056" s="93"/>
    </row>
    <row r="2057" spans="30:36" ht="18">
      <c r="AD2057" s="93"/>
      <c r="AE2057" s="214"/>
      <c r="AF2057" s="93"/>
      <c r="AG2057" s="93"/>
      <c r="AH2057" s="93"/>
      <c r="AI2057" s="93"/>
      <c r="AJ2057" s="93"/>
    </row>
    <row r="2058" spans="30:36" ht="18">
      <c r="AD2058" s="93"/>
      <c r="AE2058" s="214"/>
      <c r="AF2058" s="93"/>
      <c r="AG2058" s="93"/>
      <c r="AH2058" s="93"/>
      <c r="AI2058" s="93"/>
      <c r="AJ2058" s="93"/>
    </row>
    <row r="2059" spans="30:36" ht="18">
      <c r="AD2059" s="93"/>
      <c r="AE2059" s="214"/>
      <c r="AF2059" s="93"/>
      <c r="AG2059" s="93"/>
      <c r="AH2059" s="93"/>
      <c r="AI2059" s="93"/>
      <c r="AJ2059" s="93"/>
    </row>
    <row r="2060" spans="30:36" ht="18">
      <c r="AD2060" s="93"/>
      <c r="AE2060" s="215"/>
      <c r="AF2060" s="93"/>
      <c r="AG2060" s="93"/>
      <c r="AH2060" s="93"/>
      <c r="AI2060" s="93"/>
      <c r="AJ2060" s="93"/>
    </row>
    <row r="2061" spans="30:36" ht="18">
      <c r="AD2061" s="93"/>
      <c r="AE2061" s="215"/>
      <c r="AF2061" s="93"/>
      <c r="AG2061" s="93"/>
      <c r="AH2061" s="93"/>
      <c r="AI2061" s="93"/>
      <c r="AJ2061" s="93"/>
    </row>
    <row r="2062" spans="30:36" ht="18">
      <c r="AD2062" s="93"/>
      <c r="AE2062" s="214"/>
      <c r="AF2062" s="93"/>
      <c r="AG2062" s="93"/>
      <c r="AH2062" s="93"/>
      <c r="AI2062" s="93"/>
      <c r="AJ2062" s="93"/>
    </row>
    <row r="2063" spans="30:36" ht="18">
      <c r="AD2063" s="93"/>
      <c r="AE2063" s="214"/>
      <c r="AF2063" s="93"/>
      <c r="AG2063" s="93"/>
      <c r="AH2063" s="93"/>
      <c r="AI2063" s="93"/>
      <c r="AJ2063" s="93"/>
    </row>
    <row r="2064" spans="30:36" ht="18">
      <c r="AD2064" s="93"/>
      <c r="AE2064" s="214"/>
      <c r="AF2064" s="93"/>
      <c r="AG2064" s="93"/>
      <c r="AH2064" s="93"/>
      <c r="AI2064" s="93"/>
      <c r="AJ2064" s="93"/>
    </row>
    <row r="2065" spans="30:36" ht="18">
      <c r="AD2065" s="93"/>
      <c r="AE2065" s="214"/>
      <c r="AF2065" s="93"/>
      <c r="AG2065" s="93"/>
      <c r="AH2065" s="93"/>
      <c r="AI2065" s="93"/>
      <c r="AJ2065" s="93"/>
    </row>
    <row r="2066" spans="30:36" ht="18">
      <c r="AD2066" s="93"/>
      <c r="AE2066" s="214"/>
      <c r="AF2066" s="93"/>
      <c r="AG2066" s="93"/>
      <c r="AH2066" s="93"/>
      <c r="AI2066" s="93"/>
      <c r="AJ2066" s="93"/>
    </row>
    <row r="2067" spans="30:36" ht="18">
      <c r="AD2067" s="93"/>
      <c r="AE2067" s="215"/>
      <c r="AF2067" s="93"/>
      <c r="AG2067" s="93"/>
      <c r="AH2067" s="93"/>
      <c r="AI2067" s="93"/>
      <c r="AJ2067" s="93"/>
    </row>
    <row r="2068" spans="30:36" ht="18">
      <c r="AD2068" s="93"/>
      <c r="AE2068" s="215"/>
      <c r="AF2068" s="93"/>
      <c r="AG2068" s="93"/>
      <c r="AH2068" s="93"/>
      <c r="AI2068" s="93"/>
      <c r="AJ2068" s="93"/>
    </row>
    <row r="2069" spans="30:36" ht="18">
      <c r="AD2069" s="93"/>
      <c r="AE2069" s="214"/>
      <c r="AF2069" s="93"/>
      <c r="AG2069" s="93"/>
      <c r="AH2069" s="93"/>
      <c r="AI2069" s="93"/>
      <c r="AJ2069" s="93"/>
    </row>
    <row r="2070" spans="30:36" ht="18">
      <c r="AD2070" s="93"/>
      <c r="AE2070" s="214"/>
      <c r="AF2070" s="93"/>
      <c r="AG2070" s="93"/>
      <c r="AH2070" s="93"/>
      <c r="AI2070" s="93"/>
      <c r="AJ2070" s="93"/>
    </row>
    <row r="2071" spans="30:36" ht="18">
      <c r="AD2071" s="93"/>
      <c r="AE2071" s="214"/>
      <c r="AF2071" s="93"/>
      <c r="AG2071" s="93"/>
      <c r="AH2071" s="93"/>
      <c r="AI2071" s="93"/>
      <c r="AJ2071" s="93"/>
    </row>
    <row r="2072" spans="30:36" ht="18">
      <c r="AD2072" s="93"/>
      <c r="AE2072" s="214"/>
      <c r="AF2072" s="93"/>
      <c r="AG2072" s="93"/>
      <c r="AH2072" s="93"/>
      <c r="AI2072" s="93"/>
      <c r="AJ2072" s="93"/>
    </row>
    <row r="2073" spans="30:36" ht="18">
      <c r="AD2073" s="93"/>
      <c r="AE2073" s="215"/>
      <c r="AF2073" s="93"/>
      <c r="AG2073" s="93"/>
      <c r="AH2073" s="93"/>
      <c r="AI2073" s="93"/>
      <c r="AJ2073" s="93"/>
    </row>
    <row r="2074" spans="30:36" ht="18">
      <c r="AD2074" s="93"/>
      <c r="AE2074" s="215"/>
      <c r="AF2074" s="93"/>
      <c r="AG2074" s="93"/>
      <c r="AH2074" s="93"/>
      <c r="AI2074" s="93"/>
      <c r="AJ2074" s="93"/>
    </row>
    <row r="2075" spans="30:36" ht="18">
      <c r="AD2075" s="93"/>
      <c r="AE2075" s="214"/>
      <c r="AF2075" s="93"/>
      <c r="AG2075" s="93"/>
      <c r="AH2075" s="93"/>
      <c r="AI2075" s="93"/>
      <c r="AJ2075" s="93"/>
    </row>
    <row r="2076" spans="30:36" ht="18">
      <c r="AD2076" s="93"/>
      <c r="AE2076" s="214"/>
      <c r="AF2076" s="93"/>
      <c r="AG2076" s="93"/>
      <c r="AH2076" s="93"/>
      <c r="AI2076" s="93"/>
      <c r="AJ2076" s="93"/>
    </row>
    <row r="2077" spans="30:36" ht="18">
      <c r="AD2077" s="93"/>
      <c r="AE2077" s="214"/>
      <c r="AF2077" s="93"/>
      <c r="AG2077" s="93"/>
      <c r="AH2077" s="93"/>
      <c r="AI2077" s="93"/>
      <c r="AJ2077" s="93"/>
    </row>
    <row r="2078" spans="30:36" ht="18">
      <c r="AD2078" s="93"/>
      <c r="AE2078" s="214"/>
      <c r="AF2078" s="93"/>
      <c r="AG2078" s="93"/>
      <c r="AH2078" s="93"/>
      <c r="AI2078" s="93"/>
      <c r="AJ2078" s="93"/>
    </row>
    <row r="2079" spans="30:36" ht="18">
      <c r="AD2079" s="93"/>
      <c r="AE2079" s="215"/>
      <c r="AF2079" s="93"/>
      <c r="AG2079" s="93"/>
      <c r="AH2079" s="93"/>
      <c r="AI2079" s="93"/>
      <c r="AJ2079" s="93"/>
    </row>
    <row r="2080" spans="30:36" ht="18">
      <c r="AD2080" s="93"/>
      <c r="AE2080" s="215"/>
      <c r="AF2080" s="93"/>
      <c r="AG2080" s="93"/>
      <c r="AH2080" s="93"/>
      <c r="AI2080" s="93"/>
      <c r="AJ2080" s="93"/>
    </row>
    <row r="2081" spans="30:36" ht="18">
      <c r="AD2081" s="93"/>
      <c r="AE2081" s="214"/>
      <c r="AF2081" s="93"/>
      <c r="AG2081" s="93"/>
      <c r="AH2081" s="93"/>
      <c r="AI2081" s="93"/>
      <c r="AJ2081" s="93"/>
    </row>
    <row r="2082" spans="30:36" ht="18">
      <c r="AD2082" s="93"/>
      <c r="AE2082" s="214"/>
      <c r="AF2082" s="93"/>
      <c r="AG2082" s="93"/>
      <c r="AH2082" s="93"/>
      <c r="AI2082" s="93"/>
      <c r="AJ2082" s="93"/>
    </row>
    <row r="2083" spans="30:36" ht="18">
      <c r="AD2083" s="93"/>
      <c r="AE2083" s="214"/>
      <c r="AF2083" s="93"/>
      <c r="AG2083" s="93"/>
      <c r="AH2083" s="93"/>
      <c r="AI2083" s="93"/>
      <c r="AJ2083" s="93"/>
    </row>
    <row r="2084" spans="30:36" ht="18">
      <c r="AD2084" s="93"/>
      <c r="AE2084" s="214"/>
      <c r="AF2084" s="93"/>
      <c r="AG2084" s="93"/>
      <c r="AH2084" s="93"/>
      <c r="AI2084" s="93"/>
      <c r="AJ2084" s="93"/>
    </row>
    <row r="2085" spans="30:36" ht="18">
      <c r="AD2085" s="93"/>
      <c r="AE2085" s="214"/>
      <c r="AF2085" s="93"/>
      <c r="AG2085" s="93"/>
      <c r="AH2085" s="93"/>
      <c r="AI2085" s="93"/>
      <c r="AJ2085" s="93"/>
    </row>
    <row r="2086" spans="30:36" ht="18">
      <c r="AD2086" s="93"/>
      <c r="AE2086" s="214"/>
      <c r="AF2086" s="93"/>
      <c r="AG2086" s="93"/>
      <c r="AH2086" s="93"/>
      <c r="AI2086" s="93"/>
      <c r="AJ2086" s="93"/>
    </row>
    <row r="2087" spans="30:36" ht="18">
      <c r="AD2087" s="93"/>
      <c r="AE2087" s="214"/>
      <c r="AF2087" s="93"/>
      <c r="AG2087" s="93"/>
      <c r="AH2087" s="93"/>
      <c r="AI2087" s="93"/>
      <c r="AJ2087" s="93"/>
    </row>
    <row r="2088" spans="30:36" ht="18">
      <c r="AD2088" s="93"/>
      <c r="AE2088" s="214"/>
      <c r="AF2088" s="93"/>
      <c r="AG2088" s="93"/>
      <c r="AH2088" s="93"/>
      <c r="AI2088" s="93"/>
      <c r="AJ2088" s="93"/>
    </row>
    <row r="2089" spans="30:36" ht="18">
      <c r="AD2089" s="93"/>
      <c r="AE2089" s="215"/>
      <c r="AF2089" s="93"/>
      <c r="AG2089" s="93"/>
      <c r="AH2089" s="93"/>
      <c r="AI2089" s="93"/>
      <c r="AJ2089" s="93"/>
    </row>
    <row r="2090" spans="30:36" ht="18">
      <c r="AD2090" s="93"/>
      <c r="AE2090" s="215"/>
      <c r="AF2090" s="93"/>
      <c r="AG2090" s="93"/>
      <c r="AH2090" s="93"/>
      <c r="AI2090" s="93"/>
      <c r="AJ2090" s="93"/>
    </row>
    <row r="2091" spans="30:36" ht="18">
      <c r="AD2091" s="93"/>
      <c r="AE2091" s="214"/>
      <c r="AF2091" s="93"/>
      <c r="AG2091" s="93"/>
      <c r="AH2091" s="93"/>
      <c r="AI2091" s="93"/>
      <c r="AJ2091" s="93"/>
    </row>
    <row r="2092" spans="30:36" ht="18">
      <c r="AD2092" s="93"/>
      <c r="AE2092" s="214"/>
      <c r="AF2092" s="93"/>
      <c r="AG2092" s="93"/>
      <c r="AH2092" s="93"/>
      <c r="AI2092" s="93"/>
      <c r="AJ2092" s="93"/>
    </row>
    <row r="2093" spans="30:36" ht="18">
      <c r="AD2093" s="93"/>
      <c r="AE2093" s="214"/>
      <c r="AF2093" s="93"/>
      <c r="AG2093" s="93"/>
      <c r="AH2093" s="93"/>
      <c r="AI2093" s="93"/>
      <c r="AJ2093" s="93"/>
    </row>
    <row r="2094" spans="30:36" ht="18">
      <c r="AD2094" s="93"/>
      <c r="AE2094" s="214"/>
      <c r="AF2094" s="93"/>
      <c r="AG2094" s="93"/>
      <c r="AH2094" s="93"/>
      <c r="AI2094" s="93"/>
      <c r="AJ2094" s="93"/>
    </row>
    <row r="2095" spans="30:36" ht="18">
      <c r="AD2095" s="93"/>
      <c r="AE2095" s="214"/>
      <c r="AF2095" s="93"/>
      <c r="AG2095" s="93"/>
      <c r="AH2095" s="93"/>
      <c r="AI2095" s="93"/>
      <c r="AJ2095" s="93"/>
    </row>
    <row r="2096" spans="30:36" ht="18">
      <c r="AD2096" s="93"/>
      <c r="AE2096" s="214"/>
      <c r="AF2096" s="93"/>
      <c r="AG2096" s="93"/>
      <c r="AH2096" s="93"/>
      <c r="AI2096" s="93"/>
      <c r="AJ2096" s="93"/>
    </row>
    <row r="2097" spans="30:36" ht="18">
      <c r="AD2097" s="93"/>
      <c r="AE2097" s="214"/>
      <c r="AF2097" s="93"/>
      <c r="AG2097" s="93"/>
      <c r="AH2097" s="93"/>
      <c r="AI2097" s="93"/>
      <c r="AJ2097" s="93"/>
    </row>
    <row r="2098" spans="30:36" ht="18">
      <c r="AD2098" s="93"/>
      <c r="AE2098" s="214"/>
      <c r="AF2098" s="93"/>
      <c r="AG2098" s="93"/>
      <c r="AH2098" s="93"/>
      <c r="AI2098" s="93"/>
      <c r="AJ2098" s="93"/>
    </row>
    <row r="2099" spans="30:36" ht="18">
      <c r="AD2099" s="93"/>
      <c r="AE2099" s="214"/>
      <c r="AF2099" s="93"/>
      <c r="AG2099" s="93"/>
      <c r="AH2099" s="93"/>
      <c r="AI2099" s="93"/>
      <c r="AJ2099" s="93"/>
    </row>
    <row r="2100" spans="30:36" ht="18">
      <c r="AD2100" s="93"/>
      <c r="AE2100" s="214"/>
      <c r="AF2100" s="93"/>
      <c r="AG2100" s="93"/>
      <c r="AH2100" s="93"/>
      <c r="AI2100" s="93"/>
      <c r="AJ2100" s="93"/>
    </row>
    <row r="2101" spans="30:36" ht="18">
      <c r="AD2101" s="93"/>
      <c r="AE2101" s="214"/>
      <c r="AF2101" s="93"/>
      <c r="AG2101" s="93"/>
      <c r="AH2101" s="93"/>
      <c r="AI2101" s="93"/>
      <c r="AJ2101" s="93"/>
    </row>
    <row r="2102" spans="30:36" ht="18">
      <c r="AD2102" s="93"/>
      <c r="AE2102" s="214"/>
      <c r="AF2102" s="93"/>
      <c r="AG2102" s="93"/>
      <c r="AH2102" s="93"/>
      <c r="AI2102" s="93"/>
      <c r="AJ2102" s="93"/>
    </row>
    <row r="2103" spans="30:36" ht="18">
      <c r="AD2103" s="93"/>
      <c r="AE2103" s="215"/>
      <c r="AF2103" s="93"/>
      <c r="AG2103" s="93"/>
      <c r="AH2103" s="93"/>
      <c r="AI2103" s="93"/>
      <c r="AJ2103" s="93"/>
    </row>
    <row r="2104" spans="30:36" ht="18">
      <c r="AD2104" s="93"/>
      <c r="AE2104" s="214"/>
      <c r="AF2104" s="93"/>
      <c r="AG2104" s="93"/>
      <c r="AH2104" s="93"/>
      <c r="AI2104" s="93"/>
      <c r="AJ2104" s="93"/>
    </row>
    <row r="2105" spans="30:36" ht="18">
      <c r="AD2105" s="93"/>
      <c r="AE2105" s="214"/>
      <c r="AF2105" s="93"/>
      <c r="AG2105" s="93"/>
      <c r="AH2105" s="93"/>
      <c r="AI2105" s="93"/>
      <c r="AJ2105" s="93"/>
    </row>
    <row r="2106" spans="30:36" ht="18">
      <c r="AD2106" s="93"/>
      <c r="AE2106" s="214"/>
      <c r="AF2106" s="93"/>
      <c r="AG2106" s="93"/>
      <c r="AH2106" s="93"/>
      <c r="AI2106" s="93"/>
      <c r="AJ2106" s="93"/>
    </row>
    <row r="2107" spans="30:36" ht="18">
      <c r="AD2107" s="93"/>
      <c r="AE2107" s="214"/>
      <c r="AF2107" s="93"/>
      <c r="AG2107" s="93"/>
      <c r="AH2107" s="93"/>
      <c r="AI2107" s="93"/>
      <c r="AJ2107" s="93"/>
    </row>
    <row r="2108" spans="30:36" ht="18">
      <c r="AD2108" s="93"/>
      <c r="AE2108" s="214"/>
      <c r="AF2108" s="93"/>
      <c r="AG2108" s="93"/>
      <c r="AH2108" s="93"/>
      <c r="AI2108" s="93"/>
      <c r="AJ2108" s="93"/>
    </row>
    <row r="2109" spans="30:36" ht="18">
      <c r="AD2109" s="93"/>
      <c r="AE2109" s="214"/>
      <c r="AF2109" s="93"/>
      <c r="AG2109" s="93"/>
      <c r="AH2109" s="93"/>
      <c r="AI2109" s="93"/>
      <c r="AJ2109" s="93"/>
    </row>
    <row r="2110" spans="30:36" ht="18">
      <c r="AD2110" s="93"/>
      <c r="AE2110" s="214"/>
      <c r="AF2110" s="93"/>
      <c r="AG2110" s="93"/>
      <c r="AH2110" s="93"/>
      <c r="AI2110" s="93"/>
      <c r="AJ2110" s="93"/>
    </row>
    <row r="2111" spans="30:36" ht="18">
      <c r="AD2111" s="93"/>
      <c r="AE2111" s="214"/>
      <c r="AF2111" s="93"/>
      <c r="AG2111" s="93"/>
      <c r="AH2111" s="93"/>
      <c r="AI2111" s="93"/>
      <c r="AJ2111" s="93"/>
    </row>
    <row r="2112" spans="30:36" ht="18">
      <c r="AD2112" s="93"/>
      <c r="AE2112" s="214"/>
      <c r="AF2112" s="93"/>
      <c r="AG2112" s="93"/>
      <c r="AH2112" s="93"/>
      <c r="AI2112" s="93"/>
      <c r="AJ2112" s="93"/>
    </row>
    <row r="2113" spans="30:36" ht="18">
      <c r="AD2113" s="93"/>
      <c r="AE2113" s="214"/>
      <c r="AF2113" s="93"/>
      <c r="AG2113" s="93"/>
      <c r="AH2113" s="93"/>
      <c r="AI2113" s="93"/>
      <c r="AJ2113" s="93"/>
    </row>
    <row r="2114" spans="30:36" ht="18">
      <c r="AD2114" s="93"/>
      <c r="AE2114" s="214"/>
      <c r="AF2114" s="93"/>
      <c r="AG2114" s="93"/>
      <c r="AH2114" s="93"/>
      <c r="AI2114" s="93"/>
      <c r="AJ2114" s="93"/>
    </row>
    <row r="2115" spans="30:36" ht="18">
      <c r="AD2115" s="93"/>
      <c r="AE2115" s="214"/>
      <c r="AF2115" s="93"/>
      <c r="AG2115" s="93"/>
      <c r="AH2115" s="93"/>
      <c r="AI2115" s="93"/>
      <c r="AJ2115" s="93"/>
    </row>
    <row r="2116" spans="30:36" ht="18">
      <c r="AD2116" s="93"/>
      <c r="AE2116" s="214"/>
      <c r="AF2116" s="93"/>
      <c r="AG2116" s="93"/>
      <c r="AH2116" s="93"/>
      <c r="AI2116" s="93"/>
      <c r="AJ2116" s="93"/>
    </row>
    <row r="2117" spans="30:36" ht="18">
      <c r="AD2117" s="93"/>
      <c r="AE2117" s="214"/>
      <c r="AF2117" s="93"/>
      <c r="AG2117" s="93"/>
      <c r="AH2117" s="93"/>
      <c r="AI2117" s="93"/>
      <c r="AJ2117" s="93"/>
    </row>
    <row r="2118" spans="30:36" ht="18">
      <c r="AD2118" s="93"/>
      <c r="AE2118" s="214"/>
      <c r="AF2118" s="93"/>
      <c r="AG2118" s="93"/>
      <c r="AH2118" s="93"/>
      <c r="AI2118" s="93"/>
      <c r="AJ2118" s="93"/>
    </row>
    <row r="2119" spans="30:36" ht="18">
      <c r="AD2119" s="93"/>
      <c r="AE2119" s="215"/>
      <c r="AF2119" s="93"/>
      <c r="AG2119" s="93"/>
      <c r="AH2119" s="93"/>
      <c r="AI2119" s="93"/>
      <c r="AJ2119" s="93"/>
    </row>
    <row r="2120" spans="30:36" ht="18">
      <c r="AD2120" s="93"/>
      <c r="AE2120" s="214"/>
      <c r="AF2120" s="93"/>
      <c r="AG2120" s="93"/>
      <c r="AH2120" s="93"/>
      <c r="AI2120" s="93"/>
      <c r="AJ2120" s="93"/>
    </row>
    <row r="2121" spans="30:36" ht="18">
      <c r="AD2121" s="93"/>
      <c r="AE2121" s="214"/>
      <c r="AF2121" s="93"/>
      <c r="AG2121" s="93"/>
      <c r="AH2121" s="93"/>
      <c r="AI2121" s="93"/>
      <c r="AJ2121" s="93"/>
    </row>
    <row r="2122" spans="30:36" ht="18">
      <c r="AD2122" s="93"/>
      <c r="AE2122" s="214"/>
      <c r="AF2122" s="93"/>
      <c r="AG2122" s="93"/>
      <c r="AH2122" s="93"/>
      <c r="AI2122" s="93"/>
      <c r="AJ2122" s="93"/>
    </row>
    <row r="2123" spans="30:36" ht="18">
      <c r="AD2123" s="93"/>
      <c r="AE2123" s="214"/>
      <c r="AF2123" s="93"/>
      <c r="AG2123" s="93"/>
      <c r="AH2123" s="93"/>
      <c r="AI2123" s="93"/>
      <c r="AJ2123" s="93"/>
    </row>
    <row r="2124" spans="30:36" ht="18">
      <c r="AD2124" s="93"/>
      <c r="AE2124" s="214"/>
      <c r="AF2124" s="93"/>
      <c r="AG2124" s="93"/>
      <c r="AH2124" s="93"/>
      <c r="AI2124" s="93"/>
      <c r="AJ2124" s="93"/>
    </row>
    <row r="2125" spans="30:36" ht="18">
      <c r="AD2125" s="93"/>
      <c r="AE2125" s="214"/>
      <c r="AF2125" s="93"/>
      <c r="AG2125" s="93"/>
      <c r="AH2125" s="93"/>
      <c r="AI2125" s="93"/>
      <c r="AJ2125" s="93"/>
    </row>
    <row r="2126" spans="30:36" ht="18">
      <c r="AD2126" s="93"/>
      <c r="AE2126" s="214"/>
      <c r="AF2126" s="93"/>
      <c r="AG2126" s="93"/>
      <c r="AH2126" s="93"/>
      <c r="AI2126" s="93"/>
      <c r="AJ2126" s="93"/>
    </row>
    <row r="2127" spans="30:36" ht="18">
      <c r="AD2127" s="93"/>
      <c r="AE2127" s="215"/>
      <c r="AF2127" s="93"/>
      <c r="AG2127" s="93"/>
      <c r="AH2127" s="93"/>
      <c r="AI2127" s="93"/>
      <c r="AJ2127" s="93"/>
    </row>
    <row r="2128" spans="30:36" ht="18">
      <c r="AD2128" s="93"/>
      <c r="AE2128" s="215"/>
      <c r="AF2128" s="93"/>
      <c r="AG2128" s="93"/>
      <c r="AH2128" s="93"/>
      <c r="AI2128" s="93"/>
      <c r="AJ2128" s="93"/>
    </row>
    <row r="2129" spans="30:36" ht="18">
      <c r="AD2129" s="93"/>
      <c r="AE2129" s="214"/>
      <c r="AF2129" s="93"/>
      <c r="AG2129" s="93"/>
      <c r="AH2129" s="93"/>
      <c r="AI2129" s="93"/>
      <c r="AJ2129" s="93"/>
    </row>
    <row r="2130" spans="30:36" ht="18">
      <c r="AD2130" s="93"/>
      <c r="AE2130" s="214"/>
      <c r="AF2130" s="93"/>
      <c r="AG2130" s="93"/>
      <c r="AH2130" s="93"/>
      <c r="AI2130" s="93"/>
      <c r="AJ2130" s="93"/>
    </row>
    <row r="2131" spans="30:36" ht="18">
      <c r="AD2131" s="93"/>
      <c r="AE2131" s="214"/>
      <c r="AF2131" s="93"/>
      <c r="AG2131" s="93"/>
      <c r="AH2131" s="93"/>
      <c r="AI2131" s="93"/>
      <c r="AJ2131" s="93"/>
    </row>
    <row r="2132" spans="30:36" ht="18">
      <c r="AD2132" s="93"/>
      <c r="AE2132" s="214"/>
      <c r="AF2132" s="93"/>
      <c r="AG2132" s="93"/>
      <c r="AH2132" s="93"/>
      <c r="AI2132" s="93"/>
      <c r="AJ2132" s="93"/>
    </row>
    <row r="2133" spans="30:36" ht="18">
      <c r="AD2133" s="93"/>
      <c r="AE2133" s="214"/>
      <c r="AF2133" s="93"/>
      <c r="AG2133" s="93"/>
      <c r="AH2133" s="93"/>
      <c r="AI2133" s="93"/>
      <c r="AJ2133" s="93"/>
    </row>
    <row r="2134" spans="30:36" ht="18">
      <c r="AD2134" s="93"/>
      <c r="AE2134" s="214"/>
      <c r="AF2134" s="93"/>
      <c r="AG2134" s="93"/>
      <c r="AH2134" s="93"/>
      <c r="AI2134" s="93"/>
      <c r="AJ2134" s="93"/>
    </row>
    <row r="2135" spans="30:36" ht="18">
      <c r="AD2135" s="93"/>
      <c r="AE2135" s="214"/>
      <c r="AF2135" s="93"/>
      <c r="AG2135" s="93"/>
      <c r="AH2135" s="93"/>
      <c r="AI2135" s="93"/>
      <c r="AJ2135" s="93"/>
    </row>
    <row r="2136" spans="30:36" ht="18">
      <c r="AD2136" s="93"/>
      <c r="AE2136" s="214"/>
      <c r="AF2136" s="93"/>
      <c r="AG2136" s="93"/>
      <c r="AH2136" s="93"/>
      <c r="AI2136" s="93"/>
      <c r="AJ2136" s="93"/>
    </row>
    <row r="2137" spans="30:36" ht="18">
      <c r="AD2137" s="93"/>
      <c r="AE2137" s="214"/>
      <c r="AF2137" s="93"/>
      <c r="AG2137" s="93"/>
      <c r="AH2137" s="93"/>
      <c r="AI2137" s="93"/>
      <c r="AJ2137" s="93"/>
    </row>
    <row r="2138" spans="30:36" ht="18">
      <c r="AD2138" s="93"/>
      <c r="AE2138" s="215"/>
      <c r="AF2138" s="93"/>
      <c r="AG2138" s="93"/>
      <c r="AH2138" s="93"/>
      <c r="AI2138" s="93"/>
      <c r="AJ2138" s="93"/>
    </row>
    <row r="2139" spans="30:36" ht="18">
      <c r="AD2139" s="93"/>
      <c r="AE2139" s="215"/>
      <c r="AF2139" s="93"/>
      <c r="AG2139" s="93"/>
      <c r="AH2139" s="93"/>
      <c r="AI2139" s="93"/>
      <c r="AJ2139" s="93"/>
    </row>
    <row r="2140" spans="30:36" ht="18">
      <c r="AD2140" s="93"/>
      <c r="AE2140" s="214"/>
      <c r="AF2140" s="93"/>
      <c r="AG2140" s="93"/>
      <c r="AH2140" s="93"/>
      <c r="AI2140" s="93"/>
      <c r="AJ2140" s="93"/>
    </row>
    <row r="2141" spans="30:36" ht="18">
      <c r="AD2141" s="93"/>
      <c r="AE2141" s="214"/>
      <c r="AF2141" s="93"/>
      <c r="AG2141" s="93"/>
      <c r="AH2141" s="93"/>
      <c r="AI2141" s="93"/>
      <c r="AJ2141" s="93"/>
    </row>
    <row r="2142" spans="30:36" ht="18">
      <c r="AD2142" s="93"/>
      <c r="AE2142" s="214"/>
      <c r="AF2142" s="93"/>
      <c r="AG2142" s="93"/>
      <c r="AH2142" s="93"/>
      <c r="AI2142" s="93"/>
      <c r="AJ2142" s="93"/>
    </row>
    <row r="2143" spans="30:36" ht="18">
      <c r="AD2143" s="93"/>
      <c r="AE2143" s="215"/>
      <c r="AF2143" s="93"/>
      <c r="AG2143" s="93"/>
      <c r="AH2143" s="93"/>
      <c r="AI2143" s="93"/>
      <c r="AJ2143" s="93"/>
    </row>
    <row r="2144" spans="30:36" ht="18">
      <c r="AD2144" s="93"/>
      <c r="AE2144" s="214"/>
      <c r="AF2144" s="93"/>
      <c r="AG2144" s="93"/>
      <c r="AH2144" s="93"/>
      <c r="AI2144" s="93"/>
      <c r="AJ2144" s="93"/>
    </row>
    <row r="2145" spans="30:36" ht="18">
      <c r="AD2145" s="93"/>
      <c r="AE2145" s="214"/>
      <c r="AF2145" s="93"/>
      <c r="AG2145" s="93"/>
      <c r="AH2145" s="93"/>
      <c r="AI2145" s="93"/>
      <c r="AJ2145" s="93"/>
    </row>
    <row r="2146" spans="30:36" ht="18">
      <c r="AD2146" s="93"/>
      <c r="AE2146" s="214"/>
      <c r="AF2146" s="93"/>
      <c r="AG2146" s="93"/>
      <c r="AH2146" s="93"/>
      <c r="AI2146" s="93"/>
      <c r="AJ2146" s="93"/>
    </row>
    <row r="2147" spans="30:36" ht="18">
      <c r="AD2147" s="93"/>
      <c r="AE2147" s="214"/>
      <c r="AF2147" s="93"/>
      <c r="AG2147" s="93"/>
      <c r="AH2147" s="93"/>
      <c r="AI2147" s="93"/>
      <c r="AJ2147" s="93"/>
    </row>
    <row r="2148" spans="30:36" ht="18">
      <c r="AD2148" s="93"/>
      <c r="AE2148" s="214"/>
      <c r="AF2148" s="93"/>
      <c r="AG2148" s="93"/>
      <c r="AH2148" s="93"/>
      <c r="AI2148" s="93"/>
      <c r="AJ2148" s="93"/>
    </row>
    <row r="2149" spans="30:36" ht="18">
      <c r="AD2149" s="93"/>
      <c r="AE2149" s="214"/>
      <c r="AF2149" s="93"/>
      <c r="AG2149" s="93"/>
      <c r="AH2149" s="93"/>
      <c r="AI2149" s="93"/>
      <c r="AJ2149" s="93"/>
    </row>
    <row r="2150" spans="30:36" ht="18">
      <c r="AD2150" s="93"/>
      <c r="AE2150" s="214"/>
      <c r="AF2150" s="93"/>
      <c r="AG2150" s="93"/>
      <c r="AH2150" s="93"/>
      <c r="AI2150" s="93"/>
      <c r="AJ2150" s="93"/>
    </row>
    <row r="2151" spans="30:36" ht="18">
      <c r="AD2151" s="93"/>
      <c r="AE2151" s="214"/>
      <c r="AF2151" s="93"/>
      <c r="AG2151" s="93"/>
      <c r="AH2151" s="93"/>
      <c r="AI2151" s="93"/>
      <c r="AJ2151" s="93"/>
    </row>
    <row r="2152" spans="30:36" ht="18">
      <c r="AD2152" s="93"/>
      <c r="AE2152" s="214"/>
      <c r="AF2152" s="93"/>
      <c r="AG2152" s="93"/>
      <c r="AH2152" s="93"/>
      <c r="AI2152" s="93"/>
      <c r="AJ2152" s="93"/>
    </row>
    <row r="2153" spans="30:36" ht="18">
      <c r="AD2153" s="93"/>
      <c r="AE2153" s="214"/>
      <c r="AF2153" s="93"/>
      <c r="AG2153" s="93"/>
      <c r="AH2153" s="93"/>
      <c r="AI2153" s="93"/>
      <c r="AJ2153" s="93"/>
    </row>
    <row r="2154" spans="30:36" ht="18">
      <c r="AD2154" s="93"/>
      <c r="AE2154" s="214"/>
      <c r="AF2154" s="93"/>
      <c r="AG2154" s="93"/>
      <c r="AH2154" s="93"/>
      <c r="AI2154" s="93"/>
      <c r="AJ2154" s="93"/>
    </row>
    <row r="2155" spans="30:36" ht="18">
      <c r="AD2155" s="93"/>
      <c r="AE2155" s="214"/>
      <c r="AF2155" s="93"/>
      <c r="AG2155" s="93"/>
      <c r="AH2155" s="93"/>
      <c r="AI2155" s="93"/>
      <c r="AJ2155" s="93"/>
    </row>
    <row r="2156" spans="30:36" ht="18">
      <c r="AD2156" s="93"/>
      <c r="AE2156" s="214"/>
      <c r="AF2156" s="93"/>
      <c r="AG2156" s="93"/>
      <c r="AH2156" s="93"/>
      <c r="AI2156" s="93"/>
      <c r="AJ2156" s="93"/>
    </row>
    <row r="2157" spans="30:36" ht="18">
      <c r="AD2157" s="93"/>
      <c r="AE2157" s="214"/>
      <c r="AF2157" s="93"/>
      <c r="AG2157" s="93"/>
      <c r="AH2157" s="93"/>
      <c r="AI2157" s="93"/>
      <c r="AJ2157" s="93"/>
    </row>
    <row r="2158" spans="30:36" ht="18">
      <c r="AD2158" s="93"/>
      <c r="AE2158" s="214"/>
      <c r="AF2158" s="93"/>
      <c r="AG2158" s="93"/>
      <c r="AH2158" s="93"/>
      <c r="AI2158" s="93"/>
      <c r="AJ2158" s="93"/>
    </row>
    <row r="2159" spans="30:36" ht="18">
      <c r="AD2159" s="93"/>
      <c r="AE2159" s="214"/>
      <c r="AF2159" s="93"/>
      <c r="AG2159" s="93"/>
      <c r="AH2159" s="93"/>
      <c r="AI2159" s="93"/>
      <c r="AJ2159" s="93"/>
    </row>
    <row r="2160" spans="30:36" ht="18">
      <c r="AD2160" s="93"/>
      <c r="AE2160" s="214"/>
      <c r="AF2160" s="93"/>
      <c r="AG2160" s="93"/>
      <c r="AH2160" s="93"/>
      <c r="AI2160" s="93"/>
      <c r="AJ2160" s="93"/>
    </row>
    <row r="2161" spans="30:36" ht="18">
      <c r="AD2161" s="93"/>
      <c r="AE2161" s="214"/>
      <c r="AF2161" s="93"/>
      <c r="AG2161" s="93"/>
      <c r="AH2161" s="93"/>
      <c r="AI2161" s="93"/>
      <c r="AJ2161" s="93"/>
    </row>
    <row r="2162" spans="30:36" ht="18">
      <c r="AD2162" s="93"/>
      <c r="AE2162" s="214"/>
      <c r="AF2162" s="93"/>
      <c r="AG2162" s="93"/>
      <c r="AH2162" s="93"/>
      <c r="AI2162" s="93"/>
      <c r="AJ2162" s="93"/>
    </row>
    <row r="2163" spans="30:36" ht="18">
      <c r="AD2163" s="93"/>
      <c r="AE2163" s="215"/>
      <c r="AF2163" s="93"/>
      <c r="AG2163" s="93"/>
      <c r="AH2163" s="93"/>
      <c r="AI2163" s="93"/>
      <c r="AJ2163" s="93"/>
    </row>
    <row r="2164" spans="30:36" ht="18">
      <c r="AD2164" s="93"/>
      <c r="AE2164" s="215"/>
      <c r="AF2164" s="93"/>
      <c r="AG2164" s="93"/>
      <c r="AH2164" s="93"/>
      <c r="AI2164" s="93"/>
      <c r="AJ2164" s="93"/>
    </row>
    <row r="2165" spans="30:36" ht="18">
      <c r="AD2165" s="93"/>
      <c r="AE2165" s="214"/>
      <c r="AF2165" s="93"/>
      <c r="AG2165" s="93"/>
      <c r="AH2165" s="93"/>
      <c r="AI2165" s="93"/>
      <c r="AJ2165" s="93"/>
    </row>
    <row r="2166" spans="30:36" ht="18">
      <c r="AD2166" s="93"/>
      <c r="AE2166" s="214"/>
      <c r="AF2166" s="93"/>
      <c r="AG2166" s="93"/>
      <c r="AH2166" s="93"/>
      <c r="AI2166" s="93"/>
      <c r="AJ2166" s="93"/>
    </row>
    <row r="2167" spans="30:36" ht="18">
      <c r="AD2167" s="93"/>
      <c r="AE2167" s="214"/>
      <c r="AF2167" s="93"/>
      <c r="AG2167" s="93"/>
      <c r="AH2167" s="93"/>
      <c r="AI2167" s="93"/>
      <c r="AJ2167" s="93"/>
    </row>
    <row r="2168" spans="30:36" ht="18">
      <c r="AD2168" s="93"/>
      <c r="AE2168" s="215"/>
      <c r="AF2168" s="93"/>
      <c r="AG2168" s="93"/>
      <c r="AH2168" s="93"/>
      <c r="AI2168" s="93"/>
      <c r="AJ2168" s="93"/>
    </row>
    <row r="2169" spans="30:36" ht="18">
      <c r="AD2169" s="93"/>
      <c r="AE2169" s="214"/>
      <c r="AF2169" s="93"/>
      <c r="AG2169" s="93"/>
      <c r="AH2169" s="93"/>
      <c r="AI2169" s="93"/>
      <c r="AJ2169" s="93"/>
    </row>
    <row r="2170" spans="30:36" ht="18">
      <c r="AD2170" s="93"/>
      <c r="AE2170" s="214"/>
      <c r="AF2170" s="93"/>
      <c r="AG2170" s="93"/>
      <c r="AH2170" s="93"/>
      <c r="AI2170" s="93"/>
      <c r="AJ2170" s="93"/>
    </row>
    <row r="2171" spans="30:36" ht="18">
      <c r="AD2171" s="93"/>
      <c r="AE2171" s="214"/>
      <c r="AF2171" s="93"/>
      <c r="AG2171" s="93"/>
      <c r="AH2171" s="93"/>
      <c r="AI2171" s="93"/>
      <c r="AJ2171" s="93"/>
    </row>
    <row r="2172" spans="30:36" ht="18">
      <c r="AD2172" s="93"/>
      <c r="AE2172" s="214"/>
      <c r="AF2172" s="93"/>
      <c r="AG2172" s="93"/>
      <c r="AH2172" s="93"/>
      <c r="AI2172" s="93"/>
      <c r="AJ2172" s="93"/>
    </row>
    <row r="2173" spans="30:36" ht="18">
      <c r="AD2173" s="93"/>
      <c r="AE2173" s="214"/>
      <c r="AF2173" s="93"/>
      <c r="AG2173" s="93"/>
      <c r="AH2173" s="93"/>
      <c r="AI2173" s="93"/>
      <c r="AJ2173" s="93"/>
    </row>
    <row r="2174" spans="30:36" ht="18">
      <c r="AD2174" s="93"/>
      <c r="AE2174" s="215"/>
      <c r="AF2174" s="93"/>
      <c r="AG2174" s="93"/>
      <c r="AH2174" s="93"/>
      <c r="AI2174" s="93"/>
      <c r="AJ2174" s="93"/>
    </row>
    <row r="2175" spans="30:36" ht="18">
      <c r="AD2175" s="93"/>
      <c r="AE2175" s="215"/>
      <c r="AF2175" s="93"/>
      <c r="AG2175" s="93"/>
      <c r="AH2175" s="93"/>
      <c r="AI2175" s="93"/>
      <c r="AJ2175" s="93"/>
    </row>
    <row r="2176" spans="30:36" ht="18">
      <c r="AD2176" s="93"/>
      <c r="AE2176" s="214"/>
      <c r="AF2176" s="93"/>
      <c r="AG2176" s="93"/>
      <c r="AH2176" s="93"/>
      <c r="AI2176" s="93"/>
      <c r="AJ2176" s="93"/>
    </row>
    <row r="2177" spans="30:36" ht="18">
      <c r="AD2177" s="93"/>
      <c r="AE2177" s="214"/>
      <c r="AF2177" s="93"/>
      <c r="AG2177" s="93"/>
      <c r="AH2177" s="93"/>
      <c r="AI2177" s="93"/>
      <c r="AJ2177" s="93"/>
    </row>
    <row r="2178" spans="30:36" ht="18">
      <c r="AD2178" s="93"/>
      <c r="AE2178" s="214"/>
      <c r="AF2178" s="93"/>
      <c r="AG2178" s="93"/>
      <c r="AH2178" s="93"/>
      <c r="AI2178" s="93"/>
      <c r="AJ2178" s="93"/>
    </row>
    <row r="2179" spans="30:36" ht="18">
      <c r="AD2179" s="93"/>
      <c r="AE2179" s="214"/>
      <c r="AF2179" s="93"/>
      <c r="AG2179" s="93"/>
      <c r="AH2179" s="93"/>
      <c r="AI2179" s="93"/>
      <c r="AJ2179" s="93"/>
    </row>
    <row r="2180" spans="30:36" ht="18">
      <c r="AD2180" s="93"/>
      <c r="AE2180" s="214"/>
      <c r="AF2180" s="93"/>
      <c r="AG2180" s="93"/>
      <c r="AH2180" s="93"/>
      <c r="AI2180" s="93"/>
      <c r="AJ2180" s="93"/>
    </row>
    <row r="2181" spans="30:36" ht="18">
      <c r="AD2181" s="93"/>
      <c r="AE2181" s="214"/>
      <c r="AF2181" s="93"/>
      <c r="AG2181" s="93"/>
      <c r="AH2181" s="93"/>
      <c r="AI2181" s="93"/>
      <c r="AJ2181" s="93"/>
    </row>
    <row r="2182" spans="30:36" ht="18">
      <c r="AD2182" s="93"/>
      <c r="AE2182" s="214"/>
      <c r="AF2182" s="93"/>
      <c r="AG2182" s="93"/>
      <c r="AH2182" s="93"/>
      <c r="AI2182" s="93"/>
      <c r="AJ2182" s="93"/>
    </row>
    <row r="2183" spans="30:36" ht="18">
      <c r="AD2183" s="93"/>
      <c r="AE2183" s="215"/>
      <c r="AF2183" s="93"/>
      <c r="AG2183" s="93"/>
      <c r="AH2183" s="93"/>
      <c r="AI2183" s="93"/>
      <c r="AJ2183" s="93"/>
    </row>
    <row r="2184" spans="30:36" ht="18">
      <c r="AD2184" s="93"/>
      <c r="AE2184" s="215"/>
      <c r="AF2184" s="93"/>
      <c r="AG2184" s="93"/>
      <c r="AH2184" s="93"/>
      <c r="AI2184" s="93"/>
      <c r="AJ2184" s="93"/>
    </row>
    <row r="2185" spans="30:36" ht="18">
      <c r="AD2185" s="93"/>
      <c r="AE2185" s="214"/>
      <c r="AF2185" s="93"/>
      <c r="AG2185" s="93"/>
      <c r="AH2185" s="93"/>
      <c r="AI2185" s="93"/>
      <c r="AJ2185" s="93"/>
    </row>
    <row r="2186" spans="30:36" ht="18">
      <c r="AD2186" s="93"/>
      <c r="AE2186" s="214"/>
      <c r="AF2186" s="93"/>
      <c r="AG2186" s="93"/>
      <c r="AH2186" s="93"/>
      <c r="AI2186" s="93"/>
      <c r="AJ2186" s="93"/>
    </row>
    <row r="2187" spans="30:36" ht="18">
      <c r="AD2187" s="93"/>
      <c r="AE2187" s="214"/>
      <c r="AF2187" s="93"/>
      <c r="AG2187" s="93"/>
      <c r="AH2187" s="93"/>
      <c r="AI2187" s="93"/>
      <c r="AJ2187" s="93"/>
    </row>
    <row r="2188" spans="30:36" ht="18">
      <c r="AD2188" s="93"/>
      <c r="AE2188" s="214"/>
      <c r="AF2188" s="93"/>
      <c r="AG2188" s="93"/>
      <c r="AH2188" s="93"/>
      <c r="AI2188" s="93"/>
      <c r="AJ2188" s="93"/>
    </row>
    <row r="2189" spans="30:36" ht="18">
      <c r="AD2189" s="93"/>
      <c r="AE2189" s="214"/>
      <c r="AF2189" s="93"/>
      <c r="AG2189" s="93"/>
      <c r="AH2189" s="93"/>
      <c r="AI2189" s="93"/>
      <c r="AJ2189" s="93"/>
    </row>
    <row r="2190" spans="30:36" ht="18">
      <c r="AD2190" s="93"/>
      <c r="AE2190" s="215"/>
      <c r="AF2190" s="93"/>
      <c r="AG2190" s="93"/>
      <c r="AH2190" s="93"/>
      <c r="AI2190" s="93"/>
      <c r="AJ2190" s="93"/>
    </row>
    <row r="2191" spans="30:36" ht="18">
      <c r="AD2191" s="93"/>
      <c r="AE2191" s="215"/>
      <c r="AF2191" s="93"/>
      <c r="AG2191" s="93"/>
      <c r="AH2191" s="93"/>
      <c r="AI2191" s="93"/>
      <c r="AJ2191" s="93"/>
    </row>
    <row r="2192" spans="30:36" ht="18">
      <c r="AD2192" s="93"/>
      <c r="AE2192" s="214"/>
      <c r="AF2192" s="93"/>
      <c r="AG2192" s="93"/>
      <c r="AH2192" s="93"/>
      <c r="AI2192" s="93"/>
      <c r="AJ2192" s="93"/>
    </row>
    <row r="2193" spans="30:36" ht="18">
      <c r="AD2193" s="93"/>
      <c r="AE2193" s="214"/>
      <c r="AF2193" s="93"/>
      <c r="AG2193" s="93"/>
      <c r="AH2193" s="93"/>
      <c r="AI2193" s="93"/>
      <c r="AJ2193" s="93"/>
    </row>
    <row r="2194" spans="30:36" ht="18">
      <c r="AD2194" s="93"/>
      <c r="AE2194" s="214"/>
      <c r="AF2194" s="93"/>
      <c r="AG2194" s="93"/>
      <c r="AH2194" s="93"/>
      <c r="AI2194" s="93"/>
      <c r="AJ2194" s="93"/>
    </row>
    <row r="2195" spans="30:36" ht="18">
      <c r="AD2195" s="93"/>
      <c r="AE2195" s="214"/>
      <c r="AF2195" s="93"/>
      <c r="AG2195" s="93"/>
      <c r="AH2195" s="93"/>
      <c r="AI2195" s="93"/>
      <c r="AJ2195" s="93"/>
    </row>
    <row r="2196" spans="30:36" ht="18">
      <c r="AD2196" s="93"/>
      <c r="AE2196" s="215"/>
      <c r="AF2196" s="93"/>
      <c r="AG2196" s="93"/>
      <c r="AH2196" s="93"/>
      <c r="AI2196" s="93"/>
      <c r="AJ2196" s="93"/>
    </row>
    <row r="2197" spans="30:36" ht="18">
      <c r="AD2197" s="93"/>
      <c r="AE2197" s="215"/>
      <c r="AF2197" s="93"/>
      <c r="AG2197" s="93"/>
      <c r="AH2197" s="93"/>
      <c r="AI2197" s="93"/>
      <c r="AJ2197" s="93"/>
    </row>
    <row r="2198" spans="30:36" ht="18">
      <c r="AD2198" s="93"/>
      <c r="AE2198" s="214"/>
      <c r="AF2198" s="93"/>
      <c r="AG2198" s="93"/>
      <c r="AH2198" s="93"/>
      <c r="AI2198" s="93"/>
      <c r="AJ2198" s="93"/>
    </row>
    <row r="2199" spans="30:36" ht="18">
      <c r="AD2199" s="93"/>
      <c r="AE2199" s="214"/>
      <c r="AF2199" s="93"/>
      <c r="AG2199" s="93"/>
      <c r="AH2199" s="93"/>
      <c r="AI2199" s="93"/>
      <c r="AJ2199" s="93"/>
    </row>
    <row r="2200" spans="30:36" ht="18">
      <c r="AD2200" s="93"/>
      <c r="AE2200" s="214"/>
      <c r="AF2200" s="93"/>
      <c r="AG2200" s="93"/>
      <c r="AH2200" s="93"/>
      <c r="AI2200" s="93"/>
      <c r="AJ2200" s="93"/>
    </row>
    <row r="2201" spans="30:36" ht="18">
      <c r="AD2201" s="93"/>
      <c r="AE2201" s="214"/>
      <c r="AF2201" s="94"/>
      <c r="AG2201" s="93"/>
      <c r="AH2201" s="93"/>
      <c r="AI2201" s="93"/>
      <c r="AJ2201" s="93"/>
    </row>
    <row r="2202" spans="30:36" ht="18">
      <c r="AD2202" s="93"/>
      <c r="AE2202" s="214"/>
      <c r="AF2202" s="94"/>
      <c r="AG2202" s="93"/>
      <c r="AH2202" s="93"/>
      <c r="AI2202" s="93"/>
      <c r="AJ2202" s="93"/>
    </row>
    <row r="2203" spans="30:36" ht="18">
      <c r="AD2203" s="93"/>
      <c r="AE2203" s="214"/>
      <c r="AF2203" s="94"/>
      <c r="AG2203" s="93"/>
      <c r="AH2203" s="93"/>
      <c r="AI2203" s="93"/>
      <c r="AJ2203" s="93"/>
    </row>
    <row r="2204" spans="30:36" ht="18">
      <c r="AD2204" s="93"/>
      <c r="AE2204" s="214"/>
      <c r="AF2204" s="94"/>
      <c r="AG2204" s="93"/>
      <c r="AH2204" s="93"/>
      <c r="AI2204" s="93"/>
      <c r="AJ2204" s="93"/>
    </row>
    <row r="2205" spans="30:36" ht="18">
      <c r="AD2205" s="93"/>
      <c r="AE2205" s="214"/>
      <c r="AF2205" s="94"/>
      <c r="AG2205" s="93"/>
      <c r="AH2205" s="93"/>
      <c r="AI2205" s="93"/>
      <c r="AJ2205" s="93"/>
    </row>
    <row r="2206" spans="30:36" ht="18">
      <c r="AD2206" s="93"/>
      <c r="AE2206" s="214"/>
      <c r="AF2206" s="94"/>
      <c r="AG2206" s="93"/>
      <c r="AH2206" s="93"/>
      <c r="AI2206" s="93"/>
      <c r="AJ2206" s="93"/>
    </row>
    <row r="2207" spans="30:36" ht="18">
      <c r="AD2207" s="93"/>
      <c r="AE2207" s="214"/>
      <c r="AF2207" s="93"/>
      <c r="AG2207" s="93"/>
      <c r="AH2207" s="93"/>
      <c r="AI2207" s="93"/>
      <c r="AJ2207" s="93"/>
    </row>
    <row r="2208" spans="30:36" ht="18">
      <c r="AD2208" s="93"/>
      <c r="AE2208" s="215"/>
      <c r="AF2208" s="93"/>
      <c r="AG2208" s="93"/>
      <c r="AH2208" s="93"/>
      <c r="AI2208" s="93"/>
      <c r="AJ2208" s="93"/>
    </row>
    <row r="2209" spans="30:36" ht="18">
      <c r="AD2209" s="93"/>
      <c r="AE2209" s="215"/>
      <c r="AF2209" s="93"/>
      <c r="AG2209" s="93"/>
      <c r="AH2209" s="93"/>
      <c r="AI2209" s="93"/>
      <c r="AJ2209" s="93"/>
    </row>
    <row r="2210" spans="30:36" ht="18">
      <c r="AD2210" s="93"/>
      <c r="AE2210" s="214"/>
      <c r="AF2210" s="93"/>
      <c r="AG2210" s="93"/>
      <c r="AH2210" s="93"/>
      <c r="AI2210" s="93"/>
      <c r="AJ2210" s="93"/>
    </row>
    <row r="2211" spans="30:36" ht="18">
      <c r="AD2211" s="93"/>
      <c r="AE2211" s="214"/>
      <c r="AF2211" s="93"/>
      <c r="AG2211" s="93"/>
      <c r="AH2211" s="93"/>
      <c r="AI2211" s="93"/>
      <c r="AJ2211" s="93"/>
    </row>
    <row r="2212" spans="30:36" ht="18">
      <c r="AD2212" s="93"/>
      <c r="AE2212" s="214"/>
      <c r="AF2212" s="93"/>
      <c r="AG2212" s="93"/>
      <c r="AH2212" s="93"/>
      <c r="AI2212" s="93"/>
      <c r="AJ2212" s="93"/>
    </row>
    <row r="2213" spans="30:36" ht="18">
      <c r="AD2213" s="93"/>
      <c r="AE2213" s="215"/>
      <c r="AF2213" s="93"/>
      <c r="AG2213" s="93"/>
      <c r="AH2213" s="93"/>
      <c r="AI2213" s="93"/>
      <c r="AJ2213" s="93"/>
    </row>
    <row r="2214" spans="30:36" ht="18">
      <c r="AD2214" s="93"/>
      <c r="AE2214" s="215"/>
      <c r="AF2214" s="93"/>
      <c r="AG2214" s="93"/>
      <c r="AH2214" s="93"/>
      <c r="AI2214" s="93"/>
      <c r="AJ2214" s="93"/>
    </row>
    <row r="2215" spans="30:36" ht="18">
      <c r="AD2215" s="93"/>
      <c r="AE2215" s="214"/>
      <c r="AF2215" s="93"/>
      <c r="AG2215" s="93"/>
      <c r="AH2215" s="93"/>
      <c r="AI2215" s="93"/>
      <c r="AJ2215" s="93"/>
    </row>
    <row r="2216" spans="30:36" ht="18">
      <c r="AD2216" s="93"/>
      <c r="AE2216" s="214"/>
      <c r="AF2216" s="93"/>
      <c r="AG2216" s="93"/>
      <c r="AH2216" s="93"/>
      <c r="AI2216" s="93"/>
      <c r="AJ2216" s="93"/>
    </row>
    <row r="2217" spans="30:36" ht="18">
      <c r="AD2217" s="93"/>
      <c r="AE2217" s="214"/>
      <c r="AF2217" s="93"/>
      <c r="AG2217" s="93"/>
      <c r="AH2217" s="93"/>
      <c r="AI2217" s="93"/>
      <c r="AJ2217" s="93"/>
    </row>
    <row r="2218" spans="30:36" ht="18">
      <c r="AD2218" s="93"/>
      <c r="AE2218" s="214"/>
      <c r="AF2218" s="93"/>
      <c r="AG2218" s="93"/>
      <c r="AH2218" s="93"/>
      <c r="AI2218" s="93"/>
      <c r="AJ2218" s="93"/>
    </row>
    <row r="2219" spans="30:36" ht="18">
      <c r="AD2219" s="93"/>
      <c r="AE2219" s="214"/>
      <c r="AF2219" s="93"/>
      <c r="AG2219" s="93"/>
      <c r="AH2219" s="93"/>
      <c r="AI2219" s="93"/>
      <c r="AJ2219" s="93"/>
    </row>
    <row r="2220" spans="30:36" ht="18">
      <c r="AD2220" s="93"/>
      <c r="AE2220" s="215"/>
      <c r="AF2220" s="93"/>
      <c r="AG2220" s="93"/>
      <c r="AH2220" s="93"/>
      <c r="AI2220" s="93"/>
      <c r="AJ2220" s="93"/>
    </row>
    <row r="2221" spans="30:36" ht="18">
      <c r="AD2221" s="93"/>
      <c r="AE2221" s="215"/>
      <c r="AF2221" s="93"/>
      <c r="AG2221" s="93"/>
      <c r="AH2221" s="93"/>
      <c r="AI2221" s="93"/>
      <c r="AJ2221" s="93"/>
    </row>
    <row r="2222" spans="30:36" ht="18">
      <c r="AD2222" s="93"/>
      <c r="AE2222" s="214"/>
      <c r="AF2222" s="93"/>
      <c r="AG2222" s="93"/>
      <c r="AH2222" s="93"/>
      <c r="AI2222" s="93"/>
      <c r="AJ2222" s="93"/>
    </row>
    <row r="2223" spans="30:36" ht="18">
      <c r="AD2223" s="93"/>
      <c r="AE2223" s="214"/>
      <c r="AF2223" s="93"/>
      <c r="AG2223" s="93"/>
      <c r="AH2223" s="93"/>
      <c r="AI2223" s="93"/>
      <c r="AJ2223" s="93"/>
    </row>
    <row r="2224" spans="30:36" ht="18">
      <c r="AD2224" s="93"/>
      <c r="AE2224" s="214"/>
      <c r="AF2224" s="93"/>
      <c r="AG2224" s="93"/>
      <c r="AH2224" s="93"/>
      <c r="AI2224" s="93"/>
      <c r="AJ2224" s="93"/>
    </row>
    <row r="2225" spans="30:36" ht="18">
      <c r="AD2225" s="93"/>
      <c r="AE2225" s="215"/>
      <c r="AF2225" s="93"/>
      <c r="AG2225" s="93"/>
      <c r="AH2225" s="93"/>
      <c r="AI2225" s="93"/>
      <c r="AJ2225" s="93"/>
    </row>
    <row r="2226" spans="30:36" ht="18">
      <c r="AD2226" s="93"/>
      <c r="AE2226" s="215"/>
      <c r="AF2226" s="93"/>
      <c r="AG2226" s="93"/>
      <c r="AH2226" s="93"/>
      <c r="AI2226" s="93"/>
      <c r="AJ2226" s="93"/>
    </row>
    <row r="2227" spans="30:36" ht="18">
      <c r="AD2227" s="93"/>
      <c r="AE2227" s="214"/>
      <c r="AF2227" s="93"/>
      <c r="AG2227" s="93"/>
      <c r="AH2227" s="93"/>
      <c r="AI2227" s="93"/>
      <c r="AJ2227" s="93"/>
    </row>
    <row r="2228" spans="30:36" ht="18">
      <c r="AD2228" s="93"/>
      <c r="AE2228" s="214"/>
      <c r="AF2228" s="93"/>
      <c r="AG2228" s="93"/>
      <c r="AH2228" s="93"/>
      <c r="AI2228" s="93"/>
      <c r="AJ2228" s="93"/>
    </row>
    <row r="2229" spans="30:36" ht="18">
      <c r="AD2229" s="93"/>
      <c r="AE2229" s="214"/>
      <c r="AF2229" s="93"/>
      <c r="AG2229" s="93"/>
      <c r="AH2229" s="93"/>
      <c r="AI2229" s="93"/>
      <c r="AJ2229" s="93"/>
    </row>
    <row r="2230" spans="30:36" ht="18">
      <c r="AD2230" s="93"/>
      <c r="AE2230" s="214"/>
      <c r="AF2230" s="93"/>
      <c r="AG2230" s="93"/>
      <c r="AH2230" s="93"/>
      <c r="AI2230" s="93"/>
      <c r="AJ2230" s="93"/>
    </row>
    <row r="2231" spans="30:36" ht="18">
      <c r="AD2231" s="93"/>
      <c r="AE2231" s="215"/>
      <c r="AF2231" s="93"/>
      <c r="AG2231" s="93"/>
      <c r="AH2231" s="93"/>
      <c r="AI2231" s="93"/>
      <c r="AJ2231" s="93"/>
    </row>
    <row r="2232" spans="30:36" ht="18">
      <c r="AD2232" s="93"/>
      <c r="AE2232" s="215"/>
      <c r="AF2232" s="93"/>
      <c r="AG2232" s="93"/>
      <c r="AH2232" s="93"/>
      <c r="AI2232" s="93"/>
      <c r="AJ2232" s="93"/>
    </row>
    <row r="2233" spans="30:36" ht="18">
      <c r="AD2233" s="93"/>
      <c r="AE2233" s="214"/>
      <c r="AF2233" s="93"/>
      <c r="AG2233" s="93"/>
      <c r="AH2233" s="93"/>
      <c r="AI2233" s="93"/>
      <c r="AJ2233" s="93"/>
    </row>
    <row r="2234" spans="30:36" ht="18">
      <c r="AD2234" s="93"/>
      <c r="AE2234" s="214"/>
      <c r="AF2234" s="93"/>
      <c r="AG2234" s="93"/>
      <c r="AH2234" s="93"/>
      <c r="AI2234" s="93"/>
      <c r="AJ2234" s="93"/>
    </row>
    <row r="2235" spans="30:36" ht="18">
      <c r="AD2235" s="93"/>
      <c r="AE2235" s="214"/>
      <c r="AF2235" s="93"/>
      <c r="AG2235" s="93"/>
      <c r="AH2235" s="93"/>
      <c r="AI2235" s="93"/>
      <c r="AJ2235" s="93"/>
    </row>
    <row r="2236" spans="30:36" ht="18">
      <c r="AD2236" s="93"/>
      <c r="AE2236" s="214"/>
      <c r="AF2236" s="93"/>
      <c r="AG2236" s="93"/>
      <c r="AH2236" s="93"/>
      <c r="AI2236" s="93"/>
      <c r="AJ2236" s="93"/>
    </row>
    <row r="2237" spans="30:36" ht="18">
      <c r="AD2237" s="93"/>
      <c r="AE2237" s="214"/>
      <c r="AF2237" s="93"/>
      <c r="AG2237" s="93"/>
      <c r="AH2237" s="93"/>
      <c r="AI2237" s="93"/>
      <c r="AJ2237" s="93"/>
    </row>
    <row r="2238" spans="30:36" ht="18">
      <c r="AD2238" s="93"/>
      <c r="AE2238" s="215"/>
      <c r="AF2238" s="93"/>
      <c r="AG2238" s="93"/>
      <c r="AH2238" s="93"/>
      <c r="AI2238" s="93"/>
      <c r="AJ2238" s="93"/>
    </row>
    <row r="2239" spans="30:36" ht="18">
      <c r="AD2239" s="93"/>
      <c r="AE2239" s="215"/>
      <c r="AF2239" s="93"/>
      <c r="AG2239" s="93"/>
      <c r="AH2239" s="93"/>
      <c r="AI2239" s="93"/>
      <c r="AJ2239" s="93"/>
    </row>
    <row r="2240" spans="30:36" ht="18">
      <c r="AD2240" s="93"/>
      <c r="AE2240" s="214"/>
      <c r="AF2240" s="93"/>
      <c r="AG2240" s="93"/>
      <c r="AH2240" s="93"/>
      <c r="AI2240" s="93"/>
      <c r="AJ2240" s="93"/>
    </row>
    <row r="2241" spans="30:36" ht="18">
      <c r="AD2241" s="93"/>
      <c r="AE2241" s="214"/>
      <c r="AF2241" s="93"/>
      <c r="AG2241" s="93"/>
      <c r="AH2241" s="93"/>
      <c r="AI2241" s="93"/>
      <c r="AJ2241" s="93"/>
    </row>
    <row r="2242" spans="30:36" ht="18">
      <c r="AD2242" s="93"/>
      <c r="AE2242" s="214"/>
      <c r="AF2242" s="93"/>
      <c r="AG2242" s="93"/>
      <c r="AH2242" s="93"/>
      <c r="AI2242" s="93"/>
      <c r="AJ2242" s="93"/>
    </row>
    <row r="2243" spans="30:36" ht="18">
      <c r="AD2243" s="93"/>
      <c r="AE2243" s="214"/>
      <c r="AF2243" s="93"/>
      <c r="AG2243" s="93"/>
      <c r="AH2243" s="93"/>
      <c r="AI2243" s="93"/>
      <c r="AJ2243" s="93"/>
    </row>
    <row r="2244" spans="30:36" ht="18">
      <c r="AD2244" s="93"/>
      <c r="AE2244" s="214"/>
      <c r="AF2244" s="93"/>
      <c r="AG2244" s="93"/>
      <c r="AH2244" s="93"/>
      <c r="AI2244" s="93"/>
      <c r="AJ2244" s="93"/>
    </row>
    <row r="2245" spans="30:36" ht="18">
      <c r="AD2245" s="93"/>
      <c r="AE2245" s="214"/>
      <c r="AF2245" s="93"/>
      <c r="AG2245" s="93"/>
      <c r="AH2245" s="93"/>
      <c r="AI2245" s="93"/>
      <c r="AJ2245" s="93"/>
    </row>
    <row r="2246" spans="30:36" ht="18">
      <c r="AD2246" s="93"/>
      <c r="AE2246" s="214"/>
      <c r="AF2246" s="93"/>
      <c r="AG2246" s="93"/>
      <c r="AH2246" s="93"/>
      <c r="AI2246" s="93"/>
      <c r="AJ2246" s="93"/>
    </row>
    <row r="2247" spans="30:36" ht="18">
      <c r="AD2247" s="93"/>
      <c r="AE2247" s="215"/>
      <c r="AF2247" s="93"/>
      <c r="AG2247" s="93"/>
      <c r="AH2247" s="93"/>
      <c r="AI2247" s="93"/>
      <c r="AJ2247" s="93"/>
    </row>
    <row r="2248" spans="30:36" ht="18">
      <c r="AD2248" s="93"/>
      <c r="AE2248" s="215"/>
      <c r="AF2248" s="93"/>
      <c r="AG2248" s="93"/>
      <c r="AH2248" s="93"/>
      <c r="AI2248" s="93"/>
      <c r="AJ2248" s="93"/>
    </row>
    <row r="2249" spans="30:36" ht="18">
      <c r="AD2249" s="93"/>
      <c r="AE2249" s="214"/>
      <c r="AF2249" s="93"/>
      <c r="AG2249" s="93"/>
      <c r="AH2249" s="93"/>
      <c r="AI2249" s="93"/>
      <c r="AJ2249" s="93"/>
    </row>
    <row r="2250" spans="30:36" ht="18">
      <c r="AD2250" s="93"/>
      <c r="AE2250" s="214"/>
      <c r="AF2250" s="93"/>
      <c r="AG2250" s="93"/>
      <c r="AH2250" s="93"/>
      <c r="AI2250" s="93"/>
      <c r="AJ2250" s="93"/>
    </row>
    <row r="2251" spans="30:36" ht="18">
      <c r="AD2251" s="93"/>
      <c r="AE2251" s="214"/>
      <c r="AF2251" s="93"/>
      <c r="AG2251" s="93"/>
      <c r="AH2251" s="93"/>
      <c r="AI2251" s="93"/>
      <c r="AJ2251" s="93"/>
    </row>
    <row r="2252" spans="30:36" ht="18">
      <c r="AD2252" s="93"/>
      <c r="AE2252" s="214"/>
      <c r="AF2252" s="93"/>
      <c r="AG2252" s="93"/>
      <c r="AH2252" s="93"/>
      <c r="AI2252" s="93"/>
      <c r="AJ2252" s="93"/>
    </row>
    <row r="2253" spans="30:36" ht="18">
      <c r="AD2253" s="93"/>
      <c r="AE2253" s="214"/>
      <c r="AF2253" s="93"/>
      <c r="AG2253" s="93"/>
      <c r="AH2253" s="93"/>
      <c r="AI2253" s="93"/>
      <c r="AJ2253" s="93"/>
    </row>
    <row r="2254" spans="30:36" ht="18">
      <c r="AD2254" s="93"/>
      <c r="AE2254" s="214"/>
      <c r="AF2254" s="93"/>
      <c r="AG2254" s="93"/>
      <c r="AH2254" s="93"/>
      <c r="AI2254" s="93"/>
      <c r="AJ2254" s="93"/>
    </row>
    <row r="2255" spans="30:36" ht="18">
      <c r="AD2255" s="93"/>
      <c r="AE2255" s="214"/>
      <c r="AF2255" s="93"/>
      <c r="AG2255" s="93"/>
      <c r="AH2255" s="93"/>
      <c r="AI2255" s="93"/>
      <c r="AJ2255" s="93"/>
    </row>
    <row r="2256" spans="30:36" ht="18">
      <c r="AD2256" s="93"/>
      <c r="AE2256" s="215"/>
      <c r="AF2256" s="93"/>
      <c r="AG2256" s="93"/>
      <c r="AH2256" s="93"/>
      <c r="AI2256" s="93"/>
      <c r="AJ2256" s="93"/>
    </row>
    <row r="2257" spans="30:36" ht="18">
      <c r="AD2257" s="93"/>
      <c r="AE2257" s="215"/>
      <c r="AF2257" s="93"/>
      <c r="AG2257" s="93"/>
      <c r="AH2257" s="93"/>
      <c r="AI2257" s="93"/>
      <c r="AJ2257" s="93"/>
    </row>
    <row r="2258" spans="30:36" ht="18">
      <c r="AD2258" s="93"/>
      <c r="AE2258" s="214"/>
      <c r="AF2258" s="93"/>
      <c r="AG2258" s="93"/>
      <c r="AH2258" s="93"/>
      <c r="AI2258" s="93"/>
      <c r="AJ2258" s="93"/>
    </row>
    <row r="2259" spans="30:36" ht="18">
      <c r="AD2259" s="93"/>
      <c r="AE2259" s="214"/>
      <c r="AF2259" s="93"/>
      <c r="AG2259" s="93"/>
      <c r="AH2259" s="93"/>
      <c r="AI2259" s="93"/>
      <c r="AJ2259" s="93"/>
    </row>
    <row r="2260" spans="30:36" ht="18">
      <c r="AD2260" s="93"/>
      <c r="AE2260" s="214"/>
      <c r="AF2260" s="93"/>
      <c r="AG2260" s="93"/>
      <c r="AH2260" s="93"/>
      <c r="AI2260" s="93"/>
      <c r="AJ2260" s="93"/>
    </row>
    <row r="2261" spans="30:36" ht="18">
      <c r="AD2261" s="93"/>
      <c r="AE2261" s="214"/>
      <c r="AF2261" s="93"/>
      <c r="AG2261" s="93"/>
      <c r="AH2261" s="93"/>
      <c r="AI2261" s="93"/>
      <c r="AJ2261" s="93"/>
    </row>
    <row r="2262" spans="30:36" ht="18">
      <c r="AD2262" s="93"/>
      <c r="AE2262" s="214"/>
      <c r="AF2262" s="93"/>
      <c r="AG2262" s="93"/>
      <c r="AH2262" s="93"/>
      <c r="AI2262" s="93"/>
      <c r="AJ2262" s="93"/>
    </row>
    <row r="2263" spans="30:36" ht="18">
      <c r="AD2263" s="93"/>
      <c r="AE2263" s="215"/>
      <c r="AF2263" s="93"/>
      <c r="AG2263" s="93"/>
      <c r="AH2263" s="93"/>
      <c r="AI2263" s="93"/>
      <c r="AJ2263" s="93"/>
    </row>
    <row r="2264" spans="30:36" ht="18">
      <c r="AD2264" s="93"/>
      <c r="AE2264" s="215"/>
      <c r="AF2264" s="93"/>
      <c r="AG2264" s="93"/>
      <c r="AH2264" s="93"/>
      <c r="AI2264" s="93"/>
      <c r="AJ2264" s="93"/>
    </row>
    <row r="2265" spans="30:36" ht="18">
      <c r="AD2265" s="93"/>
      <c r="AE2265" s="214"/>
      <c r="AF2265" s="93"/>
      <c r="AG2265" s="93"/>
      <c r="AH2265" s="93"/>
      <c r="AI2265" s="93"/>
      <c r="AJ2265" s="93"/>
    </row>
    <row r="2266" spans="30:36" ht="18">
      <c r="AD2266" s="93"/>
      <c r="AE2266" s="214"/>
      <c r="AF2266" s="93"/>
      <c r="AG2266" s="93"/>
      <c r="AH2266" s="93"/>
      <c r="AI2266" s="93"/>
      <c r="AJ2266" s="93"/>
    </row>
    <row r="2267" spans="30:36" ht="18">
      <c r="AD2267" s="93"/>
      <c r="AE2267" s="214"/>
      <c r="AF2267" s="93"/>
      <c r="AG2267" s="93"/>
      <c r="AH2267" s="93"/>
      <c r="AI2267" s="93"/>
      <c r="AJ2267" s="93"/>
    </row>
    <row r="2268" spans="30:36" ht="18">
      <c r="AD2268" s="93"/>
      <c r="AE2268" s="214"/>
      <c r="AF2268" s="93"/>
      <c r="AG2268" s="93"/>
      <c r="AH2268" s="93"/>
      <c r="AI2268" s="93"/>
      <c r="AJ2268" s="93"/>
    </row>
    <row r="2269" spans="30:36" ht="18">
      <c r="AD2269" s="93"/>
      <c r="AE2269" s="214"/>
      <c r="AF2269" s="93"/>
      <c r="AG2269" s="93"/>
      <c r="AH2269" s="93"/>
      <c r="AI2269" s="93"/>
      <c r="AJ2269" s="93"/>
    </row>
    <row r="2270" spans="30:36" ht="18">
      <c r="AD2270" s="93"/>
      <c r="AE2270" s="214"/>
      <c r="AF2270" s="93"/>
      <c r="AG2270" s="93"/>
      <c r="AH2270" s="93"/>
      <c r="AI2270" s="93"/>
      <c r="AJ2270" s="93"/>
    </row>
    <row r="2271" spans="30:36" ht="18">
      <c r="AD2271" s="93"/>
      <c r="AE2271" s="214"/>
      <c r="AF2271" s="93"/>
      <c r="AG2271" s="93"/>
      <c r="AH2271" s="93"/>
      <c r="AI2271" s="93"/>
      <c r="AJ2271" s="93"/>
    </row>
    <row r="2272" spans="30:36" ht="18">
      <c r="AD2272" s="93"/>
      <c r="AE2272" s="215"/>
      <c r="AF2272" s="93"/>
      <c r="AG2272" s="93"/>
      <c r="AH2272" s="93"/>
      <c r="AI2272" s="93"/>
      <c r="AJ2272" s="93"/>
    </row>
    <row r="2273" spans="30:36" ht="18">
      <c r="AD2273" s="93"/>
      <c r="AE2273" s="215"/>
      <c r="AF2273" s="93"/>
      <c r="AG2273" s="93"/>
      <c r="AH2273" s="93"/>
      <c r="AI2273" s="93"/>
      <c r="AJ2273" s="93"/>
    </row>
    <row r="2274" spans="30:36" ht="18">
      <c r="AD2274" s="93"/>
      <c r="AE2274" s="215"/>
      <c r="AF2274" s="93"/>
      <c r="AG2274" s="93"/>
      <c r="AH2274" s="93"/>
      <c r="AI2274" s="93"/>
      <c r="AJ2274" s="93"/>
    </row>
    <row r="2275" spans="30:36" ht="18">
      <c r="AD2275" s="93"/>
      <c r="AE2275" s="214"/>
      <c r="AF2275" s="93"/>
      <c r="AG2275" s="93"/>
      <c r="AH2275" s="93"/>
      <c r="AI2275" s="93"/>
      <c r="AJ2275" s="93"/>
    </row>
    <row r="2276" spans="30:36" ht="18">
      <c r="AD2276" s="93"/>
      <c r="AE2276" s="214"/>
      <c r="AF2276" s="93"/>
      <c r="AG2276" s="93"/>
      <c r="AH2276" s="93"/>
      <c r="AI2276" s="93"/>
      <c r="AJ2276" s="93"/>
    </row>
    <row r="2277" spans="30:36" ht="18">
      <c r="AD2277" s="93"/>
      <c r="AE2277" s="215"/>
      <c r="AF2277" s="93"/>
      <c r="AG2277" s="93"/>
      <c r="AH2277" s="93"/>
      <c r="AI2277" s="93"/>
      <c r="AJ2277" s="93"/>
    </row>
    <row r="2278" spans="30:36" ht="18">
      <c r="AD2278" s="93"/>
      <c r="AE2278" s="214"/>
      <c r="AF2278" s="93"/>
      <c r="AG2278" s="93"/>
      <c r="AH2278" s="93"/>
      <c r="AI2278" s="93"/>
      <c r="AJ2278" s="93"/>
    </row>
    <row r="2279" spans="30:36" ht="18">
      <c r="AD2279" s="93"/>
      <c r="AE2279" s="214"/>
      <c r="AF2279" s="93"/>
      <c r="AG2279" s="93"/>
      <c r="AH2279" s="93"/>
      <c r="AI2279" s="93"/>
      <c r="AJ2279" s="93"/>
    </row>
    <row r="2280" spans="30:36" ht="18">
      <c r="AD2280" s="93"/>
      <c r="AE2280" s="215"/>
      <c r="AF2280" s="93"/>
      <c r="AG2280" s="93"/>
      <c r="AH2280" s="93"/>
      <c r="AI2280" s="93"/>
      <c r="AJ2280" s="93"/>
    </row>
    <row r="2281" spans="30:36" ht="18">
      <c r="AD2281" s="93"/>
      <c r="AE2281" s="214"/>
      <c r="AF2281" s="93"/>
      <c r="AG2281" s="93"/>
      <c r="AH2281" s="93"/>
      <c r="AI2281" s="93"/>
      <c r="AJ2281" s="93"/>
    </row>
    <row r="2282" spans="30:36" ht="18">
      <c r="AD2282" s="93"/>
      <c r="AE2282" s="214"/>
      <c r="AF2282" s="93"/>
      <c r="AG2282" s="93"/>
      <c r="AH2282" s="93"/>
      <c r="AI2282" s="93"/>
      <c r="AJ2282" s="93"/>
    </row>
    <row r="2283" spans="30:36" ht="18">
      <c r="AD2283" s="93"/>
      <c r="AE2283" s="215"/>
      <c r="AF2283" s="93"/>
      <c r="AG2283" s="93"/>
      <c r="AH2283" s="93"/>
      <c r="AI2283" s="93"/>
      <c r="AJ2283" s="93"/>
    </row>
    <row r="2284" spans="30:36" ht="18">
      <c r="AD2284" s="93"/>
      <c r="AE2284" s="214"/>
      <c r="AF2284" s="93"/>
      <c r="AG2284" s="93"/>
      <c r="AH2284" s="93"/>
      <c r="AI2284" s="93"/>
      <c r="AJ2284" s="93"/>
    </row>
    <row r="2285" spans="30:36" ht="18">
      <c r="AD2285" s="93"/>
      <c r="AE2285" s="214"/>
      <c r="AF2285" s="93"/>
      <c r="AG2285" s="93"/>
      <c r="AH2285" s="93"/>
      <c r="AI2285" s="93"/>
      <c r="AJ2285" s="93"/>
    </row>
    <row r="2286" spans="30:36" ht="18">
      <c r="AD2286" s="93"/>
      <c r="AE2286" s="215"/>
      <c r="AF2286" s="93"/>
      <c r="AG2286" s="93"/>
      <c r="AH2286" s="93"/>
      <c r="AI2286" s="93"/>
      <c r="AJ2286" s="93"/>
    </row>
    <row r="2287" spans="30:36" ht="18">
      <c r="AD2287" s="93"/>
      <c r="AE2287" s="214"/>
      <c r="AF2287" s="93"/>
      <c r="AG2287" s="93"/>
      <c r="AH2287" s="93"/>
      <c r="AI2287" s="93"/>
      <c r="AJ2287" s="93"/>
    </row>
    <row r="2288" spans="30:36" ht="18">
      <c r="AD2288" s="93"/>
      <c r="AE2288" s="214"/>
      <c r="AF2288" s="93"/>
      <c r="AG2288" s="93"/>
      <c r="AH2288" s="93"/>
      <c r="AI2288" s="93"/>
      <c r="AJ2288" s="93"/>
    </row>
    <row r="2289" spans="30:36" ht="18">
      <c r="AD2289" s="93"/>
      <c r="AE2289" s="215"/>
      <c r="AF2289" s="93"/>
      <c r="AG2289" s="93"/>
      <c r="AH2289" s="93"/>
      <c r="AI2289" s="93"/>
      <c r="AJ2289" s="93"/>
    </row>
    <row r="2290" spans="30:36" ht="18">
      <c r="AD2290" s="93"/>
      <c r="AE2290" s="215"/>
      <c r="AF2290" s="93"/>
      <c r="AG2290" s="93"/>
      <c r="AH2290" s="93"/>
      <c r="AI2290" s="93"/>
      <c r="AJ2290" s="93"/>
    </row>
    <row r="2291" spans="30:36" ht="18">
      <c r="AD2291" s="93"/>
      <c r="AE2291" s="214"/>
      <c r="AF2291" s="93"/>
      <c r="AG2291" s="93"/>
      <c r="AH2291" s="93"/>
      <c r="AI2291" s="93"/>
      <c r="AJ2291" s="93"/>
    </row>
    <row r="2292" spans="30:36" ht="18">
      <c r="AD2292" s="93"/>
      <c r="AE2292" s="214"/>
      <c r="AF2292" s="93"/>
      <c r="AG2292" s="93"/>
      <c r="AH2292" s="93"/>
      <c r="AI2292" s="93"/>
      <c r="AJ2292" s="93"/>
    </row>
    <row r="2293" spans="30:36" ht="18">
      <c r="AD2293" s="93"/>
      <c r="AE2293" s="215"/>
      <c r="AF2293" s="93"/>
      <c r="AG2293" s="93"/>
      <c r="AH2293" s="93"/>
      <c r="AI2293" s="93"/>
      <c r="AJ2293" s="93"/>
    </row>
    <row r="2294" spans="30:36" ht="18">
      <c r="AD2294" s="93"/>
      <c r="AE2294" s="214"/>
      <c r="AF2294" s="93"/>
      <c r="AG2294" s="93"/>
      <c r="AH2294" s="93"/>
      <c r="AI2294" s="93"/>
      <c r="AJ2294" s="93"/>
    </row>
    <row r="2295" spans="30:36" ht="18">
      <c r="AD2295" s="93"/>
      <c r="AE2295" s="214"/>
      <c r="AF2295" s="93"/>
      <c r="AG2295" s="93"/>
      <c r="AH2295" s="93"/>
      <c r="AI2295" s="93"/>
      <c r="AJ2295" s="93"/>
    </row>
    <row r="2296" spans="30:36" ht="18">
      <c r="AD2296" s="93"/>
      <c r="AE2296" s="215"/>
      <c r="AF2296" s="93"/>
      <c r="AG2296" s="93"/>
      <c r="AH2296" s="93"/>
      <c r="AI2296" s="93"/>
      <c r="AJ2296" s="93"/>
    </row>
    <row r="2297" spans="30:36" ht="18">
      <c r="AD2297" s="93"/>
      <c r="AE2297" s="214"/>
      <c r="AF2297" s="93"/>
      <c r="AG2297" s="93"/>
      <c r="AH2297" s="93"/>
      <c r="AI2297" s="93"/>
      <c r="AJ2297" s="93"/>
    </row>
    <row r="2298" spans="30:36" ht="18">
      <c r="AD2298" s="93"/>
      <c r="AE2298" s="214"/>
      <c r="AF2298" s="93"/>
      <c r="AG2298" s="93"/>
      <c r="AH2298" s="93"/>
      <c r="AI2298" s="93"/>
      <c r="AJ2298" s="93"/>
    </row>
    <row r="2299" spans="30:36" ht="18">
      <c r="AD2299" s="93"/>
      <c r="AE2299" s="215"/>
      <c r="AF2299" s="93"/>
      <c r="AG2299" s="93"/>
      <c r="AH2299" s="93"/>
      <c r="AI2299" s="93"/>
      <c r="AJ2299" s="93"/>
    </row>
    <row r="2300" spans="30:36" ht="18">
      <c r="AD2300" s="93"/>
      <c r="AE2300" s="214"/>
      <c r="AF2300" s="93"/>
      <c r="AG2300" s="93"/>
      <c r="AH2300" s="93"/>
      <c r="AI2300" s="93"/>
      <c r="AJ2300" s="93"/>
    </row>
    <row r="2301" spans="30:36" ht="18">
      <c r="AD2301" s="93"/>
      <c r="AE2301" s="214"/>
      <c r="AF2301" s="93"/>
      <c r="AG2301" s="93"/>
      <c r="AH2301" s="93"/>
      <c r="AI2301" s="93"/>
      <c r="AJ2301" s="93"/>
    </row>
    <row r="2302" spans="30:36" ht="18">
      <c r="AD2302" s="93"/>
      <c r="AE2302" s="215"/>
      <c r="AF2302" s="93"/>
      <c r="AG2302" s="93"/>
      <c r="AH2302" s="93"/>
      <c r="AI2302" s="93"/>
      <c r="AJ2302" s="93"/>
    </row>
    <row r="2303" spans="30:36" ht="18">
      <c r="AD2303" s="93"/>
      <c r="AE2303" s="214"/>
      <c r="AF2303" s="93"/>
      <c r="AG2303" s="93"/>
      <c r="AH2303" s="93"/>
      <c r="AI2303" s="93"/>
      <c r="AJ2303" s="93"/>
    </row>
    <row r="2304" spans="30:36" ht="18">
      <c r="AD2304" s="93"/>
      <c r="AE2304" s="214"/>
      <c r="AF2304" s="93"/>
      <c r="AG2304" s="93"/>
      <c r="AH2304" s="93"/>
      <c r="AI2304" s="93"/>
      <c r="AJ2304" s="93"/>
    </row>
    <row r="2305" spans="30:36" ht="18">
      <c r="AD2305" s="93"/>
      <c r="AE2305" s="214"/>
      <c r="AF2305" s="93"/>
      <c r="AG2305" s="93"/>
      <c r="AH2305" s="93"/>
      <c r="AI2305" s="93"/>
      <c r="AJ2305" s="93"/>
    </row>
    <row r="2306" spans="30:36" ht="18">
      <c r="AD2306" s="93"/>
      <c r="AE2306" s="214"/>
      <c r="AF2306" s="93"/>
      <c r="AG2306" s="93"/>
      <c r="AH2306" s="93"/>
      <c r="AI2306" s="93"/>
      <c r="AJ2306" s="93"/>
    </row>
    <row r="2307" spans="30:36" ht="18">
      <c r="AD2307" s="93"/>
      <c r="AE2307" s="214"/>
      <c r="AF2307" s="93"/>
      <c r="AG2307" s="93"/>
      <c r="AH2307" s="93"/>
      <c r="AI2307" s="93"/>
      <c r="AJ2307" s="93"/>
    </row>
    <row r="2308" spans="30:36" ht="18">
      <c r="AD2308" s="93"/>
      <c r="AE2308" s="215"/>
      <c r="AF2308" s="93"/>
      <c r="AG2308" s="93"/>
      <c r="AH2308" s="93"/>
      <c r="AI2308" s="93"/>
      <c r="AJ2308" s="93"/>
    </row>
    <row r="2309" spans="30:36" ht="18">
      <c r="AD2309" s="93"/>
      <c r="AE2309" s="214"/>
      <c r="AF2309" s="93"/>
      <c r="AG2309" s="93"/>
      <c r="AH2309" s="93"/>
      <c r="AI2309" s="93"/>
      <c r="AJ2309" s="93"/>
    </row>
    <row r="2310" spans="30:36" ht="18">
      <c r="AD2310" s="93"/>
      <c r="AE2310" s="214"/>
      <c r="AF2310" s="93"/>
      <c r="AG2310" s="93"/>
      <c r="AH2310" s="93"/>
      <c r="AI2310" s="93"/>
      <c r="AJ2310" s="93"/>
    </row>
    <row r="2311" spans="30:36" ht="18">
      <c r="AD2311" s="93"/>
      <c r="AE2311" s="215"/>
      <c r="AF2311" s="93"/>
      <c r="AG2311" s="93"/>
      <c r="AH2311" s="93"/>
      <c r="AI2311" s="93"/>
      <c r="AJ2311" s="93"/>
    </row>
    <row r="2312" spans="30:36" ht="18">
      <c r="AD2312" s="93"/>
      <c r="AE2312" s="214"/>
      <c r="AF2312" s="93"/>
      <c r="AG2312" s="93"/>
      <c r="AH2312" s="93"/>
      <c r="AI2312" s="93"/>
      <c r="AJ2312" s="93"/>
    </row>
    <row r="2313" spans="30:36" ht="18">
      <c r="AD2313" s="93"/>
      <c r="AE2313" s="214"/>
      <c r="AF2313" s="93"/>
      <c r="AG2313" s="93"/>
      <c r="AH2313" s="93"/>
      <c r="AI2313" s="93"/>
      <c r="AJ2313" s="93"/>
    </row>
    <row r="2314" spans="30:36" ht="18">
      <c r="AD2314" s="93"/>
      <c r="AE2314" s="215"/>
      <c r="AF2314" s="93"/>
      <c r="AG2314" s="93"/>
      <c r="AH2314" s="93"/>
      <c r="AI2314" s="93"/>
      <c r="AJ2314" s="93"/>
    </row>
    <row r="2315" spans="30:36" ht="18">
      <c r="AD2315" s="93"/>
      <c r="AE2315" s="214"/>
      <c r="AF2315" s="93"/>
      <c r="AG2315" s="93"/>
      <c r="AH2315" s="93"/>
      <c r="AI2315" s="93"/>
      <c r="AJ2315" s="93"/>
    </row>
    <row r="2316" spans="30:36" ht="18">
      <c r="AD2316" s="93"/>
      <c r="AE2316" s="214"/>
      <c r="AF2316" s="93"/>
      <c r="AG2316" s="93"/>
      <c r="AH2316" s="93"/>
      <c r="AI2316" s="93"/>
      <c r="AJ2316" s="93"/>
    </row>
    <row r="2317" spans="30:36" ht="18">
      <c r="AD2317" s="93"/>
      <c r="AE2317" s="215"/>
      <c r="AF2317" s="93"/>
      <c r="AG2317" s="93"/>
      <c r="AH2317" s="93"/>
      <c r="AI2317" s="93"/>
      <c r="AJ2317" s="93"/>
    </row>
    <row r="2318" spans="30:36" ht="18">
      <c r="AD2318" s="93"/>
      <c r="AE2318" s="214"/>
      <c r="AF2318" s="93"/>
      <c r="AG2318" s="93"/>
      <c r="AH2318" s="93"/>
      <c r="AI2318" s="93"/>
      <c r="AJ2318" s="93"/>
    </row>
    <row r="2319" spans="30:36" ht="18">
      <c r="AD2319" s="93"/>
      <c r="AE2319" s="214"/>
      <c r="AF2319" s="93"/>
      <c r="AG2319" s="93"/>
      <c r="AH2319" s="93"/>
      <c r="AI2319" s="93"/>
      <c r="AJ2319" s="93"/>
    </row>
    <row r="2320" spans="30:36" ht="18">
      <c r="AD2320" s="93"/>
      <c r="AE2320" s="215"/>
      <c r="AF2320" s="93"/>
      <c r="AG2320" s="93"/>
      <c r="AH2320" s="93"/>
      <c r="AI2320" s="93"/>
      <c r="AJ2320" s="93"/>
    </row>
    <row r="2321" spans="30:36" ht="18">
      <c r="AD2321" s="93"/>
      <c r="AE2321" s="214"/>
      <c r="AF2321" s="93"/>
      <c r="AG2321" s="93"/>
      <c r="AH2321" s="93"/>
      <c r="AI2321" s="93"/>
      <c r="AJ2321" s="93"/>
    </row>
    <row r="2322" spans="30:36" ht="18">
      <c r="AD2322" s="93"/>
      <c r="AE2322" s="214"/>
      <c r="AF2322" s="93"/>
      <c r="AG2322" s="93"/>
      <c r="AH2322" s="93"/>
      <c r="AI2322" s="93"/>
      <c r="AJ2322" s="93"/>
    </row>
    <row r="2323" spans="30:36" ht="18">
      <c r="AD2323" s="93"/>
      <c r="AE2323" s="215"/>
      <c r="AF2323" s="93"/>
      <c r="AG2323" s="93"/>
      <c r="AH2323" s="93"/>
      <c r="AI2323" s="93"/>
      <c r="AJ2323" s="93"/>
    </row>
    <row r="2324" spans="30:36" ht="18">
      <c r="AD2324" s="93"/>
      <c r="AE2324" s="214"/>
      <c r="AF2324" s="93"/>
      <c r="AG2324" s="93"/>
      <c r="AH2324" s="93"/>
      <c r="AI2324" s="93"/>
      <c r="AJ2324" s="93"/>
    </row>
    <row r="2325" spans="30:36" ht="18">
      <c r="AD2325" s="93"/>
      <c r="AE2325" s="214"/>
      <c r="AF2325" s="93"/>
      <c r="AG2325" s="93"/>
      <c r="AH2325" s="93"/>
      <c r="AI2325" s="93"/>
      <c r="AJ2325" s="93"/>
    </row>
    <row r="2326" spans="30:36" ht="18">
      <c r="AD2326" s="93"/>
      <c r="AE2326" s="214"/>
      <c r="AF2326" s="93"/>
      <c r="AG2326" s="93"/>
      <c r="AH2326" s="93"/>
      <c r="AI2326" s="93"/>
      <c r="AJ2326" s="93"/>
    </row>
    <row r="2327" spans="30:36" ht="18">
      <c r="AD2327" s="93"/>
      <c r="AE2327" s="214"/>
      <c r="AF2327" s="93"/>
      <c r="AG2327" s="93"/>
      <c r="AH2327" s="93"/>
      <c r="AI2327" s="93"/>
      <c r="AJ2327" s="93"/>
    </row>
    <row r="2328" spans="30:36" ht="18">
      <c r="AD2328" s="93"/>
      <c r="AE2328" s="214"/>
      <c r="AF2328" s="93"/>
      <c r="AG2328" s="93"/>
      <c r="AH2328" s="93"/>
      <c r="AI2328" s="93"/>
      <c r="AJ2328" s="93"/>
    </row>
    <row r="2329" spans="30:36" ht="18">
      <c r="AD2329" s="93"/>
      <c r="AE2329" s="214"/>
      <c r="AF2329" s="93"/>
      <c r="AG2329" s="93"/>
      <c r="AH2329" s="93"/>
      <c r="AI2329" s="93"/>
      <c r="AJ2329" s="93"/>
    </row>
    <row r="2330" spans="30:36" ht="18">
      <c r="AD2330" s="93"/>
      <c r="AE2330" s="214"/>
      <c r="AF2330" s="93"/>
      <c r="AG2330" s="93"/>
      <c r="AH2330" s="93"/>
      <c r="AI2330" s="93"/>
      <c r="AJ2330" s="93"/>
    </row>
    <row r="2331" spans="30:36" ht="18">
      <c r="AD2331" s="93"/>
      <c r="AE2331" s="214"/>
      <c r="AF2331" s="93"/>
      <c r="AG2331" s="93"/>
      <c r="AH2331" s="93"/>
      <c r="AI2331" s="93"/>
      <c r="AJ2331" s="93"/>
    </row>
    <row r="2332" spans="30:36" ht="18">
      <c r="AD2332" s="93"/>
      <c r="AE2332" s="215"/>
      <c r="AF2332" s="93"/>
      <c r="AG2332" s="93"/>
      <c r="AH2332" s="93"/>
      <c r="AI2332" s="93"/>
      <c r="AJ2332" s="93"/>
    </row>
    <row r="2333" spans="30:36" ht="18">
      <c r="AD2333" s="93"/>
      <c r="AE2333" s="214"/>
      <c r="AF2333" s="93"/>
      <c r="AG2333" s="93"/>
      <c r="AH2333" s="93"/>
      <c r="AI2333" s="93"/>
      <c r="AJ2333" s="93"/>
    </row>
    <row r="2334" spans="30:36" ht="18">
      <c r="AD2334" s="93"/>
      <c r="AE2334" s="214"/>
      <c r="AF2334" s="93"/>
      <c r="AG2334" s="93"/>
      <c r="AH2334" s="93"/>
      <c r="AI2334" s="93"/>
      <c r="AJ2334" s="93"/>
    </row>
    <row r="2335" spans="30:36" ht="18">
      <c r="AD2335" s="93"/>
      <c r="AE2335" s="214"/>
      <c r="AF2335" s="93"/>
      <c r="AG2335" s="93"/>
      <c r="AH2335" s="93"/>
      <c r="AI2335" s="93"/>
      <c r="AJ2335" s="93"/>
    </row>
    <row r="2336" spans="30:36" ht="18">
      <c r="AD2336" s="93"/>
      <c r="AE2336" s="214"/>
      <c r="AF2336" s="93"/>
      <c r="AG2336" s="93"/>
      <c r="AH2336" s="93"/>
      <c r="AI2336" s="93"/>
      <c r="AJ2336" s="93"/>
    </row>
    <row r="2337" spans="30:36" ht="18">
      <c r="AD2337" s="93"/>
      <c r="AE2337" s="215"/>
      <c r="AF2337" s="93"/>
      <c r="AG2337" s="93"/>
      <c r="AH2337" s="93"/>
      <c r="AI2337" s="93"/>
      <c r="AJ2337" s="93"/>
    </row>
    <row r="2338" spans="30:36" ht="18">
      <c r="AD2338" s="93"/>
      <c r="AE2338" s="215"/>
      <c r="AF2338" s="93"/>
      <c r="AG2338" s="93"/>
      <c r="AH2338" s="93"/>
      <c r="AI2338" s="93"/>
      <c r="AJ2338" s="93"/>
    </row>
    <row r="2339" spans="30:36" ht="18">
      <c r="AD2339" s="93"/>
      <c r="AE2339" s="214"/>
      <c r="AF2339" s="93"/>
      <c r="AG2339" s="93"/>
      <c r="AH2339" s="93"/>
      <c r="AI2339" s="93"/>
      <c r="AJ2339" s="93"/>
    </row>
    <row r="2340" spans="30:36" ht="18">
      <c r="AD2340" s="93"/>
      <c r="AE2340" s="214"/>
      <c r="AF2340" s="93"/>
      <c r="AG2340" s="93"/>
      <c r="AH2340" s="93"/>
      <c r="AI2340" s="93"/>
      <c r="AJ2340" s="93"/>
    </row>
    <row r="2341" spans="30:36" ht="18">
      <c r="AD2341" s="93"/>
      <c r="AE2341" s="214"/>
      <c r="AF2341" s="93"/>
      <c r="AG2341" s="93"/>
      <c r="AH2341" s="93"/>
      <c r="AI2341" s="93"/>
      <c r="AJ2341" s="93"/>
    </row>
    <row r="2342" spans="30:36" ht="18">
      <c r="AD2342" s="93"/>
      <c r="AE2342" s="214"/>
      <c r="AF2342" s="93"/>
      <c r="AG2342" s="93"/>
      <c r="AH2342" s="93"/>
      <c r="AI2342" s="93"/>
      <c r="AJ2342" s="93"/>
    </row>
    <row r="2343" spans="30:36" ht="18">
      <c r="AD2343" s="93"/>
      <c r="AE2343" s="214"/>
      <c r="AF2343" s="93"/>
      <c r="AG2343" s="93"/>
      <c r="AH2343" s="93"/>
      <c r="AI2343" s="93"/>
      <c r="AJ2343" s="93"/>
    </row>
    <row r="2344" spans="30:36" ht="18">
      <c r="AD2344" s="93"/>
      <c r="AE2344" s="214"/>
      <c r="AF2344" s="93"/>
      <c r="AG2344" s="93"/>
      <c r="AH2344" s="93"/>
      <c r="AI2344" s="93"/>
      <c r="AJ2344" s="93"/>
    </row>
    <row r="2345" spans="30:36" ht="18">
      <c r="AD2345" s="93"/>
      <c r="AE2345" s="214"/>
      <c r="AF2345" s="93"/>
      <c r="AG2345" s="93"/>
      <c r="AH2345" s="93"/>
      <c r="AI2345" s="93"/>
      <c r="AJ2345" s="93"/>
    </row>
    <row r="2346" spans="30:36" ht="18">
      <c r="AD2346" s="93"/>
      <c r="AE2346" s="214"/>
      <c r="AF2346" s="93"/>
      <c r="AG2346" s="93"/>
      <c r="AH2346" s="93"/>
      <c r="AI2346" s="93"/>
      <c r="AJ2346" s="93"/>
    </row>
    <row r="2347" spans="30:36" ht="18">
      <c r="AD2347" s="93"/>
      <c r="AE2347" s="215"/>
      <c r="AF2347" s="93"/>
      <c r="AG2347" s="93"/>
      <c r="AH2347" s="93"/>
      <c r="AI2347" s="93"/>
      <c r="AJ2347" s="93"/>
    </row>
    <row r="2348" spans="30:36" ht="18">
      <c r="AD2348" s="93"/>
      <c r="AE2348" s="215"/>
      <c r="AF2348" s="93"/>
      <c r="AG2348" s="93"/>
      <c r="AH2348" s="93"/>
      <c r="AI2348" s="93"/>
      <c r="AJ2348" s="93"/>
    </row>
    <row r="2349" spans="30:36" ht="18">
      <c r="AD2349" s="93"/>
      <c r="AE2349" s="214"/>
      <c r="AF2349" s="93"/>
      <c r="AG2349" s="93"/>
      <c r="AH2349" s="93"/>
      <c r="AI2349" s="93"/>
      <c r="AJ2349" s="93"/>
    </row>
    <row r="2350" spans="30:36" ht="18">
      <c r="AD2350" s="93"/>
      <c r="AE2350" s="214"/>
      <c r="AF2350" s="93"/>
      <c r="AG2350" s="93"/>
      <c r="AH2350" s="93"/>
      <c r="AI2350" s="93"/>
      <c r="AJ2350" s="93"/>
    </row>
    <row r="2351" spans="30:36" ht="18">
      <c r="AD2351" s="93"/>
      <c r="AE2351" s="214"/>
      <c r="AF2351" s="93"/>
      <c r="AG2351" s="93"/>
      <c r="AH2351" s="93"/>
      <c r="AI2351" s="93"/>
      <c r="AJ2351" s="93"/>
    </row>
    <row r="2352" spans="30:36" ht="18">
      <c r="AD2352" s="93"/>
      <c r="AE2352" s="214"/>
      <c r="AF2352" s="93"/>
      <c r="AG2352" s="93"/>
      <c r="AH2352" s="93"/>
      <c r="AI2352" s="93"/>
      <c r="AJ2352" s="93"/>
    </row>
    <row r="2353" spans="30:36" ht="18">
      <c r="AD2353" s="93"/>
      <c r="AE2353" s="214"/>
      <c r="AF2353" s="93"/>
      <c r="AG2353" s="93"/>
      <c r="AH2353" s="93"/>
      <c r="AI2353" s="93"/>
      <c r="AJ2353" s="93"/>
    </row>
    <row r="2354" spans="30:36" ht="18">
      <c r="AD2354" s="93"/>
      <c r="AE2354" s="214"/>
      <c r="AF2354" s="93"/>
      <c r="AG2354" s="93"/>
      <c r="AH2354" s="93"/>
      <c r="AI2354" s="93"/>
      <c r="AJ2354" s="93"/>
    </row>
    <row r="2355" spans="30:36" ht="18">
      <c r="AD2355" s="93"/>
      <c r="AE2355" s="215"/>
      <c r="AF2355" s="93"/>
      <c r="AG2355" s="93"/>
      <c r="AH2355" s="93"/>
      <c r="AI2355" s="93"/>
      <c r="AJ2355" s="93"/>
    </row>
    <row r="2356" spans="30:36" ht="18">
      <c r="AD2356" s="93"/>
      <c r="AE2356" s="214"/>
      <c r="AF2356" s="93"/>
      <c r="AG2356" s="93"/>
      <c r="AH2356" s="93"/>
      <c r="AI2356" s="93"/>
      <c r="AJ2356" s="93"/>
    </row>
    <row r="2357" spans="30:36" ht="18">
      <c r="AD2357" s="93"/>
      <c r="AE2357" s="214"/>
      <c r="AF2357" s="93"/>
      <c r="AG2357" s="93"/>
      <c r="AH2357" s="93"/>
      <c r="AI2357" s="93"/>
      <c r="AJ2357" s="93"/>
    </row>
    <row r="2358" spans="30:36" ht="18">
      <c r="AD2358" s="93"/>
      <c r="AE2358" s="214"/>
      <c r="AF2358" s="93"/>
      <c r="AG2358" s="93"/>
      <c r="AH2358" s="93"/>
      <c r="AI2358" s="93"/>
      <c r="AJ2358" s="93"/>
    </row>
    <row r="2359" spans="30:36" ht="18">
      <c r="AD2359" s="93"/>
      <c r="AE2359" s="214"/>
      <c r="AF2359" s="93"/>
      <c r="AG2359" s="93"/>
      <c r="AH2359" s="93"/>
      <c r="AI2359" s="93"/>
      <c r="AJ2359" s="93"/>
    </row>
    <row r="2360" spans="30:36" ht="18">
      <c r="AD2360" s="93"/>
      <c r="AE2360" s="214"/>
      <c r="AF2360" s="93"/>
      <c r="AG2360" s="93"/>
      <c r="AH2360" s="93"/>
      <c r="AI2360" s="93"/>
      <c r="AJ2360" s="93"/>
    </row>
    <row r="2361" spans="30:36" ht="18">
      <c r="AD2361" s="93"/>
      <c r="AE2361" s="214"/>
      <c r="AF2361" s="93"/>
      <c r="AG2361" s="93"/>
      <c r="AH2361" s="93"/>
      <c r="AI2361" s="93"/>
      <c r="AJ2361" s="93"/>
    </row>
    <row r="2362" spans="30:36" ht="18">
      <c r="AD2362" s="93"/>
      <c r="AE2362" s="215"/>
      <c r="AF2362" s="93"/>
      <c r="AG2362" s="93"/>
      <c r="AH2362" s="93"/>
      <c r="AI2362" s="93"/>
      <c r="AJ2362" s="93"/>
    </row>
    <row r="2363" spans="30:36" ht="18">
      <c r="AD2363" s="93"/>
      <c r="AE2363" s="215"/>
      <c r="AF2363" s="93"/>
      <c r="AG2363" s="93"/>
      <c r="AH2363" s="93"/>
      <c r="AI2363" s="93"/>
      <c r="AJ2363" s="93"/>
    </row>
    <row r="2364" spans="30:36" ht="18">
      <c r="AD2364" s="93"/>
      <c r="AE2364" s="214"/>
      <c r="AF2364" s="93"/>
      <c r="AG2364" s="93"/>
      <c r="AH2364" s="93"/>
      <c r="AI2364" s="93"/>
      <c r="AJ2364" s="93"/>
    </row>
    <row r="2365" spans="30:36" ht="18">
      <c r="AD2365" s="93"/>
      <c r="AE2365" s="214"/>
      <c r="AF2365" s="93"/>
      <c r="AG2365" s="93"/>
      <c r="AH2365" s="93"/>
      <c r="AI2365" s="93"/>
      <c r="AJ2365" s="93"/>
    </row>
    <row r="2366" spans="30:36" ht="18">
      <c r="AD2366" s="93"/>
      <c r="AE2366" s="214"/>
      <c r="AF2366" s="93"/>
      <c r="AG2366" s="93"/>
      <c r="AH2366" s="93"/>
      <c r="AI2366" s="93"/>
      <c r="AJ2366" s="93"/>
    </row>
    <row r="2367" spans="30:36" ht="18">
      <c r="AD2367" s="93"/>
      <c r="AE2367" s="214"/>
      <c r="AF2367" s="93"/>
      <c r="AG2367" s="93"/>
      <c r="AH2367" s="93"/>
      <c r="AI2367" s="93"/>
      <c r="AJ2367" s="93"/>
    </row>
    <row r="2368" spans="30:36" ht="18">
      <c r="AD2368" s="93"/>
      <c r="AE2368" s="215"/>
      <c r="AF2368" s="93"/>
      <c r="AG2368" s="93"/>
      <c r="AH2368" s="93"/>
      <c r="AI2368" s="93"/>
      <c r="AJ2368" s="93"/>
    </row>
    <row r="2369" spans="30:36" ht="18">
      <c r="AD2369" s="93"/>
      <c r="AE2369" s="215"/>
      <c r="AF2369" s="93"/>
      <c r="AG2369" s="93"/>
      <c r="AH2369" s="93"/>
      <c r="AI2369" s="93"/>
      <c r="AJ2369" s="93"/>
    </row>
    <row r="2370" spans="30:36" ht="18">
      <c r="AD2370" s="93"/>
      <c r="AE2370" s="214"/>
      <c r="AF2370" s="93"/>
      <c r="AG2370" s="93"/>
      <c r="AH2370" s="93"/>
      <c r="AI2370" s="93"/>
      <c r="AJ2370" s="93"/>
    </row>
    <row r="2371" spans="30:36" ht="18">
      <c r="AD2371" s="93"/>
      <c r="AE2371" s="214"/>
      <c r="AF2371" s="93"/>
      <c r="AG2371" s="93"/>
      <c r="AH2371" s="93"/>
      <c r="AI2371" s="93"/>
      <c r="AJ2371" s="93"/>
    </row>
    <row r="2372" spans="30:36" ht="18">
      <c r="AD2372" s="93"/>
      <c r="AE2372" s="214"/>
      <c r="AF2372" s="93"/>
      <c r="AG2372" s="93"/>
      <c r="AH2372" s="93"/>
      <c r="AI2372" s="93"/>
      <c r="AJ2372" s="93"/>
    </row>
    <row r="2373" spans="30:36" ht="18">
      <c r="AD2373" s="93"/>
      <c r="AE2373" s="214"/>
      <c r="AF2373" s="93"/>
      <c r="AG2373" s="93"/>
      <c r="AH2373" s="93"/>
      <c r="AI2373" s="93"/>
      <c r="AJ2373" s="93"/>
    </row>
    <row r="2374" spans="30:36" ht="18">
      <c r="AD2374" s="93"/>
      <c r="AE2374" s="214"/>
      <c r="AF2374" s="93"/>
      <c r="AG2374" s="93"/>
      <c r="AH2374" s="93"/>
      <c r="AI2374" s="93"/>
      <c r="AJ2374" s="93"/>
    </row>
    <row r="2375" spans="30:36" ht="18">
      <c r="AD2375" s="93"/>
      <c r="AE2375" s="214"/>
      <c r="AF2375" s="93"/>
      <c r="AG2375" s="93"/>
      <c r="AH2375" s="93"/>
      <c r="AI2375" s="93"/>
      <c r="AJ2375" s="93"/>
    </row>
    <row r="2376" spans="30:36" ht="18">
      <c r="AD2376" s="93"/>
      <c r="AE2376" s="214"/>
      <c r="AF2376" s="93"/>
      <c r="AG2376" s="93"/>
      <c r="AH2376" s="93"/>
      <c r="AI2376" s="93"/>
      <c r="AJ2376" s="93"/>
    </row>
    <row r="2377" spans="30:36" ht="18">
      <c r="AD2377" s="93"/>
      <c r="AE2377" s="214"/>
      <c r="AF2377" s="93"/>
      <c r="AG2377" s="93"/>
      <c r="AH2377" s="93"/>
      <c r="AI2377" s="93"/>
      <c r="AJ2377" s="93"/>
    </row>
    <row r="2378" spans="30:36" ht="18">
      <c r="AD2378" s="93"/>
      <c r="AE2378" s="214"/>
      <c r="AF2378" s="93"/>
      <c r="AG2378" s="93"/>
      <c r="AH2378" s="93"/>
      <c r="AI2378" s="93"/>
      <c r="AJ2378" s="93"/>
    </row>
    <row r="2379" spans="30:36" ht="18">
      <c r="AD2379" s="93"/>
      <c r="AE2379" s="214"/>
      <c r="AF2379" s="93"/>
      <c r="AG2379" s="93"/>
      <c r="AH2379" s="93"/>
      <c r="AI2379" s="93"/>
      <c r="AJ2379" s="93"/>
    </row>
    <row r="2380" spans="30:36" ht="18">
      <c r="AD2380" s="93"/>
      <c r="AE2380" s="215"/>
      <c r="AF2380" s="93"/>
      <c r="AG2380" s="93"/>
      <c r="AH2380" s="93"/>
      <c r="AI2380" s="93"/>
      <c r="AJ2380" s="93"/>
    </row>
    <row r="2381" spans="30:36" ht="18">
      <c r="AD2381" s="93"/>
      <c r="AE2381" s="215"/>
      <c r="AF2381" s="93"/>
      <c r="AG2381" s="93"/>
      <c r="AH2381" s="93"/>
      <c r="AI2381" s="93"/>
      <c r="AJ2381" s="93"/>
    </row>
    <row r="2382" spans="30:36" ht="18">
      <c r="AD2382" s="93"/>
      <c r="AE2382" s="214"/>
      <c r="AF2382" s="93"/>
      <c r="AG2382" s="93"/>
      <c r="AH2382" s="93"/>
      <c r="AI2382" s="93"/>
      <c r="AJ2382" s="93"/>
    </row>
    <row r="2383" spans="30:36" ht="18">
      <c r="AD2383" s="93"/>
      <c r="AE2383" s="214"/>
      <c r="AF2383" s="93"/>
      <c r="AG2383" s="93"/>
      <c r="AH2383" s="93"/>
      <c r="AI2383" s="93"/>
      <c r="AJ2383" s="93"/>
    </row>
    <row r="2384" spans="30:36" ht="18">
      <c r="AD2384" s="93"/>
      <c r="AE2384" s="214"/>
      <c r="AF2384" s="93"/>
      <c r="AG2384" s="93"/>
      <c r="AH2384" s="93"/>
      <c r="AI2384" s="93"/>
      <c r="AJ2384" s="93"/>
    </row>
    <row r="2385" spans="30:36" ht="18">
      <c r="AD2385" s="93"/>
      <c r="AE2385" s="215"/>
      <c r="AF2385" s="93"/>
      <c r="AG2385" s="93"/>
      <c r="AH2385" s="93"/>
      <c r="AI2385" s="93"/>
      <c r="AJ2385" s="93"/>
    </row>
    <row r="2386" spans="30:36" ht="18">
      <c r="AD2386" s="93"/>
      <c r="AE2386" s="215"/>
      <c r="AF2386" s="93"/>
      <c r="AG2386" s="93"/>
      <c r="AH2386" s="93"/>
      <c r="AI2386" s="93"/>
      <c r="AJ2386" s="93"/>
    </row>
    <row r="2387" spans="30:36" ht="18">
      <c r="AD2387" s="93"/>
      <c r="AE2387" s="214"/>
      <c r="AF2387" s="93"/>
      <c r="AG2387" s="93"/>
      <c r="AH2387" s="93"/>
      <c r="AI2387" s="93"/>
      <c r="AJ2387" s="93"/>
    </row>
    <row r="2388" spans="30:36" ht="18">
      <c r="AD2388" s="93"/>
      <c r="AE2388" s="214"/>
      <c r="AF2388" s="93"/>
      <c r="AG2388" s="93"/>
      <c r="AH2388" s="93"/>
      <c r="AI2388" s="93"/>
      <c r="AJ2388" s="93"/>
    </row>
    <row r="2389" spans="30:36" ht="18">
      <c r="AD2389" s="93"/>
      <c r="AE2389" s="214"/>
      <c r="AF2389" s="93"/>
      <c r="AG2389" s="93"/>
      <c r="AH2389" s="93"/>
      <c r="AI2389" s="93"/>
      <c r="AJ2389" s="93"/>
    </row>
    <row r="2390" spans="30:36" ht="18">
      <c r="AD2390" s="93"/>
      <c r="AE2390" s="214"/>
      <c r="AF2390" s="93"/>
      <c r="AG2390" s="93"/>
      <c r="AH2390" s="93"/>
      <c r="AI2390" s="93"/>
      <c r="AJ2390" s="93"/>
    </row>
    <row r="2391" spans="30:36" ht="18">
      <c r="AD2391" s="93"/>
      <c r="AE2391" s="214"/>
      <c r="AF2391" s="93"/>
      <c r="AG2391" s="93"/>
      <c r="AH2391" s="93"/>
      <c r="AI2391" s="93"/>
      <c r="AJ2391" s="93"/>
    </row>
    <row r="2392" spans="30:36" ht="18">
      <c r="AD2392" s="93"/>
      <c r="AE2392" s="214"/>
      <c r="AF2392" s="93"/>
      <c r="AG2392" s="93"/>
      <c r="AH2392" s="93"/>
      <c r="AI2392" s="93"/>
      <c r="AJ2392" s="93"/>
    </row>
    <row r="2393" spans="30:36" ht="18">
      <c r="AD2393" s="93"/>
      <c r="AE2393" s="214"/>
      <c r="AF2393" s="93"/>
      <c r="AG2393" s="93"/>
      <c r="AH2393" s="93"/>
      <c r="AI2393" s="93"/>
      <c r="AJ2393" s="93"/>
    </row>
    <row r="2394" spans="30:36" ht="18">
      <c r="AD2394" s="93"/>
      <c r="AE2394" s="214"/>
      <c r="AF2394" s="93"/>
      <c r="AG2394" s="93"/>
      <c r="AH2394" s="93"/>
      <c r="AI2394" s="93"/>
      <c r="AJ2394" s="93"/>
    </row>
    <row r="2395" spans="30:36" ht="18">
      <c r="AD2395" s="93"/>
      <c r="AE2395" s="214"/>
      <c r="AF2395" s="93"/>
      <c r="AG2395" s="93"/>
      <c r="AH2395" s="93"/>
      <c r="AI2395" s="93"/>
      <c r="AJ2395" s="93"/>
    </row>
    <row r="2396" spans="30:36" ht="18">
      <c r="AD2396" s="93"/>
      <c r="AE2396" s="214"/>
      <c r="AF2396" s="93"/>
      <c r="AG2396" s="93"/>
      <c r="AH2396" s="93"/>
      <c r="AI2396" s="93"/>
      <c r="AJ2396" s="93"/>
    </row>
    <row r="2397" spans="30:36" ht="18">
      <c r="AD2397" s="93"/>
      <c r="AE2397" s="214"/>
      <c r="AF2397" s="93"/>
      <c r="AG2397" s="93"/>
      <c r="AH2397" s="93"/>
      <c r="AI2397" s="93"/>
      <c r="AJ2397" s="93"/>
    </row>
    <row r="2398" spans="30:36" ht="18">
      <c r="AD2398" s="93"/>
      <c r="AE2398" s="214"/>
      <c r="AF2398" s="93"/>
      <c r="AG2398" s="93"/>
      <c r="AH2398" s="93"/>
      <c r="AI2398" s="93"/>
      <c r="AJ2398" s="93"/>
    </row>
    <row r="2399" spans="30:36" ht="18">
      <c r="AD2399" s="93"/>
      <c r="AE2399" s="214"/>
      <c r="AF2399" s="93"/>
      <c r="AG2399" s="93"/>
      <c r="AH2399" s="93"/>
      <c r="AI2399" s="93"/>
      <c r="AJ2399" s="93"/>
    </row>
    <row r="2400" spans="30:36" ht="18">
      <c r="AD2400" s="93"/>
      <c r="AE2400" s="214"/>
      <c r="AF2400" s="93"/>
      <c r="AG2400" s="93"/>
      <c r="AH2400" s="93"/>
      <c r="AI2400" s="93"/>
      <c r="AJ2400" s="93"/>
    </row>
    <row r="2401" spans="30:36" ht="18">
      <c r="AD2401" s="93"/>
      <c r="AE2401" s="214"/>
      <c r="AF2401" s="93"/>
      <c r="AG2401" s="93"/>
      <c r="AH2401" s="93"/>
      <c r="AI2401" s="93"/>
      <c r="AJ2401" s="93"/>
    </row>
    <row r="2402" spans="30:36" ht="18">
      <c r="AD2402" s="93"/>
      <c r="AE2402" s="214"/>
      <c r="AF2402" s="93"/>
      <c r="AG2402" s="93"/>
      <c r="AH2402" s="93"/>
      <c r="AI2402" s="93"/>
      <c r="AJ2402" s="93"/>
    </row>
    <row r="2403" spans="30:36" ht="18">
      <c r="AD2403" s="93"/>
      <c r="AE2403" s="214"/>
      <c r="AF2403" s="93"/>
      <c r="AG2403" s="93"/>
      <c r="AH2403" s="93"/>
      <c r="AI2403" s="93"/>
      <c r="AJ2403" s="93"/>
    </row>
    <row r="2404" spans="30:36" ht="18">
      <c r="AD2404" s="93"/>
      <c r="AE2404" s="214"/>
      <c r="AF2404" s="93"/>
      <c r="AG2404" s="93"/>
      <c r="AH2404" s="93"/>
      <c r="AI2404" s="93"/>
      <c r="AJ2404" s="93"/>
    </row>
    <row r="2405" spans="30:36" ht="18">
      <c r="AD2405" s="93"/>
      <c r="AE2405" s="214"/>
      <c r="AF2405" s="93"/>
      <c r="AG2405" s="93"/>
      <c r="AH2405" s="93"/>
      <c r="AI2405" s="93"/>
      <c r="AJ2405" s="93"/>
    </row>
    <row r="2406" spans="30:36" ht="18">
      <c r="AD2406" s="93"/>
      <c r="AE2406" s="214"/>
      <c r="AF2406" s="93"/>
      <c r="AG2406" s="93"/>
      <c r="AH2406" s="93"/>
      <c r="AI2406" s="93"/>
      <c r="AJ2406" s="93"/>
    </row>
    <row r="2407" spans="30:36" ht="18">
      <c r="AD2407" s="93"/>
      <c r="AE2407" s="214"/>
      <c r="AF2407" s="93"/>
      <c r="AG2407" s="93"/>
      <c r="AH2407" s="93"/>
      <c r="AI2407" s="93"/>
      <c r="AJ2407" s="93"/>
    </row>
    <row r="2408" spans="30:36" ht="18">
      <c r="AD2408" s="93"/>
      <c r="AE2408" s="214"/>
      <c r="AF2408" s="93"/>
      <c r="AG2408" s="93"/>
      <c r="AH2408" s="93"/>
      <c r="AI2408" s="93"/>
      <c r="AJ2408" s="93"/>
    </row>
    <row r="2409" spans="30:36" ht="18">
      <c r="AD2409" s="93"/>
      <c r="AE2409" s="214"/>
      <c r="AF2409" s="93"/>
      <c r="AG2409" s="93"/>
      <c r="AH2409" s="93"/>
      <c r="AI2409" s="93"/>
      <c r="AJ2409" s="93"/>
    </row>
    <row r="2410" spans="30:36" ht="18">
      <c r="AD2410" s="93"/>
      <c r="AE2410" s="214"/>
      <c r="AF2410" s="93"/>
      <c r="AG2410" s="93"/>
      <c r="AH2410" s="93"/>
      <c r="AI2410" s="93"/>
      <c r="AJ2410" s="93"/>
    </row>
    <row r="2411" spans="30:36" ht="18">
      <c r="AD2411" s="93"/>
      <c r="AE2411" s="214"/>
      <c r="AF2411" s="93"/>
      <c r="AG2411" s="93"/>
      <c r="AH2411" s="93"/>
      <c r="AI2411" s="93"/>
      <c r="AJ2411" s="93"/>
    </row>
    <row r="2412" spans="30:36" ht="18">
      <c r="AD2412" s="93"/>
      <c r="AE2412" s="214"/>
      <c r="AF2412" s="93"/>
      <c r="AG2412" s="93"/>
      <c r="AH2412" s="93"/>
      <c r="AI2412" s="93"/>
      <c r="AJ2412" s="93"/>
    </row>
    <row r="2413" spans="30:36" ht="18">
      <c r="AD2413" s="93"/>
      <c r="AE2413" s="214"/>
      <c r="AF2413" s="93"/>
      <c r="AG2413" s="93"/>
      <c r="AH2413" s="93"/>
      <c r="AI2413" s="93"/>
      <c r="AJ2413" s="93"/>
    </row>
    <row r="2414" spans="30:36" ht="18">
      <c r="AD2414" s="93"/>
      <c r="AE2414" s="215"/>
      <c r="AF2414" s="93"/>
      <c r="AG2414" s="93"/>
      <c r="AH2414" s="93"/>
      <c r="AI2414" s="93"/>
      <c r="AJ2414" s="93"/>
    </row>
    <row r="2415" spans="30:36" ht="18">
      <c r="AD2415" s="93"/>
      <c r="AE2415" s="215"/>
      <c r="AF2415" s="93"/>
      <c r="AG2415" s="93"/>
      <c r="AH2415" s="93"/>
      <c r="AI2415" s="93"/>
      <c r="AJ2415" s="93"/>
    </row>
    <row r="2416" spans="30:36" ht="18">
      <c r="AD2416" s="93"/>
      <c r="AE2416" s="214"/>
      <c r="AF2416" s="93"/>
      <c r="AG2416" s="93"/>
      <c r="AH2416" s="93"/>
      <c r="AI2416" s="93"/>
      <c r="AJ2416" s="93"/>
    </row>
    <row r="2417" spans="30:36" ht="18">
      <c r="AD2417" s="93"/>
      <c r="AE2417" s="214"/>
      <c r="AF2417" s="93"/>
      <c r="AG2417" s="93"/>
      <c r="AH2417" s="93"/>
      <c r="AI2417" s="93"/>
      <c r="AJ2417" s="93"/>
    </row>
    <row r="2418" spans="30:36" ht="18">
      <c r="AD2418" s="93"/>
      <c r="AE2418" s="214"/>
      <c r="AF2418" s="93"/>
      <c r="AG2418" s="93"/>
      <c r="AH2418" s="93"/>
      <c r="AI2418" s="93"/>
      <c r="AJ2418" s="93"/>
    </row>
    <row r="2419" spans="30:36" ht="18">
      <c r="AD2419" s="93"/>
      <c r="AE2419" s="214"/>
      <c r="AF2419" s="93"/>
      <c r="AG2419" s="93"/>
      <c r="AH2419" s="93"/>
      <c r="AI2419" s="93"/>
      <c r="AJ2419" s="93"/>
    </row>
    <row r="2420" spans="30:36" ht="18">
      <c r="AD2420" s="93"/>
      <c r="AE2420" s="214"/>
      <c r="AF2420" s="93"/>
      <c r="AG2420" s="93"/>
      <c r="AH2420" s="93"/>
      <c r="AI2420" s="93"/>
      <c r="AJ2420" s="93"/>
    </row>
    <row r="2421" spans="30:36" ht="18">
      <c r="AD2421" s="93"/>
      <c r="AE2421" s="214"/>
      <c r="AF2421" s="93"/>
      <c r="AG2421" s="93"/>
      <c r="AH2421" s="93"/>
      <c r="AI2421" s="93"/>
      <c r="AJ2421" s="93"/>
    </row>
    <row r="2422" spans="30:36" ht="18">
      <c r="AD2422" s="93"/>
      <c r="AE2422" s="215"/>
      <c r="AF2422" s="93"/>
      <c r="AG2422" s="93"/>
      <c r="AH2422" s="93"/>
      <c r="AI2422" s="93"/>
      <c r="AJ2422" s="93"/>
    </row>
    <row r="2423" spans="30:36" ht="18">
      <c r="AD2423" s="93"/>
      <c r="AE2423" s="215"/>
      <c r="AF2423" s="93"/>
      <c r="AG2423" s="93"/>
      <c r="AH2423" s="93"/>
      <c r="AI2423" s="93"/>
      <c r="AJ2423" s="93"/>
    </row>
    <row r="2424" spans="30:36" ht="18">
      <c r="AD2424" s="93"/>
      <c r="AE2424" s="214"/>
      <c r="AF2424" s="93"/>
      <c r="AG2424" s="93"/>
      <c r="AH2424" s="93"/>
      <c r="AI2424" s="93"/>
      <c r="AJ2424" s="93"/>
    </row>
    <row r="2425" spans="30:36" ht="18">
      <c r="AD2425" s="93"/>
      <c r="AE2425" s="214"/>
      <c r="AF2425" s="93"/>
      <c r="AG2425" s="93"/>
      <c r="AH2425" s="93"/>
      <c r="AI2425" s="93"/>
      <c r="AJ2425" s="93"/>
    </row>
    <row r="2426" spans="30:36" ht="18">
      <c r="AD2426" s="93"/>
      <c r="AE2426" s="214"/>
      <c r="AF2426" s="93"/>
      <c r="AG2426" s="93"/>
      <c r="AH2426" s="93"/>
      <c r="AI2426" s="93"/>
      <c r="AJ2426" s="93"/>
    </row>
    <row r="2427" spans="30:36" ht="18">
      <c r="AD2427" s="93"/>
      <c r="AE2427" s="214"/>
      <c r="AF2427" s="93"/>
      <c r="AG2427" s="93"/>
      <c r="AH2427" s="93"/>
      <c r="AI2427" s="93"/>
      <c r="AJ2427" s="93"/>
    </row>
    <row r="2428" spans="30:36" ht="18">
      <c r="AD2428" s="93"/>
      <c r="AE2428" s="214"/>
      <c r="AF2428" s="93"/>
      <c r="AG2428" s="93"/>
      <c r="AH2428" s="93"/>
      <c r="AI2428" s="93"/>
      <c r="AJ2428" s="93"/>
    </row>
    <row r="2429" spans="30:36" ht="18">
      <c r="AD2429" s="93"/>
      <c r="AE2429" s="214"/>
      <c r="AF2429" s="93"/>
      <c r="AG2429" s="93"/>
      <c r="AH2429" s="93"/>
      <c r="AI2429" s="93"/>
      <c r="AJ2429" s="93"/>
    </row>
    <row r="2430" spans="30:36" ht="18">
      <c r="AD2430" s="93"/>
      <c r="AE2430" s="214"/>
      <c r="AF2430" s="93"/>
      <c r="AG2430" s="93"/>
      <c r="AH2430" s="93"/>
      <c r="AI2430" s="93"/>
      <c r="AJ2430" s="93"/>
    </row>
    <row r="2431" spans="30:36" ht="18">
      <c r="AD2431" s="93"/>
      <c r="AE2431" s="214"/>
      <c r="AF2431" s="93"/>
      <c r="AG2431" s="93"/>
      <c r="AH2431" s="93"/>
      <c r="AI2431" s="93"/>
      <c r="AJ2431" s="93"/>
    </row>
    <row r="2432" spans="30:36" ht="18">
      <c r="AD2432" s="93"/>
      <c r="AE2432" s="214"/>
      <c r="AF2432" s="93"/>
      <c r="AG2432" s="93"/>
      <c r="AH2432" s="93"/>
      <c r="AI2432" s="93"/>
      <c r="AJ2432" s="93"/>
    </row>
    <row r="2433" spans="30:36" ht="18">
      <c r="AD2433" s="93"/>
      <c r="AE2433" s="214"/>
      <c r="AF2433" s="93"/>
      <c r="AG2433" s="93"/>
      <c r="AH2433" s="93"/>
      <c r="AI2433" s="93"/>
      <c r="AJ2433" s="93"/>
    </row>
    <row r="2434" spans="30:36" ht="18">
      <c r="AD2434" s="93"/>
      <c r="AE2434" s="215"/>
      <c r="AF2434" s="93"/>
      <c r="AG2434" s="93"/>
      <c r="AH2434" s="93"/>
      <c r="AI2434" s="93"/>
      <c r="AJ2434" s="93"/>
    </row>
    <row r="2435" spans="30:36" ht="18">
      <c r="AD2435" s="93"/>
      <c r="AE2435" s="215"/>
      <c r="AF2435" s="93"/>
      <c r="AG2435" s="93"/>
      <c r="AH2435" s="93"/>
      <c r="AI2435" s="93"/>
      <c r="AJ2435" s="93"/>
    </row>
    <row r="2436" spans="30:36" ht="18">
      <c r="AD2436" s="93"/>
      <c r="AE2436" s="214"/>
      <c r="AF2436" s="93"/>
      <c r="AG2436" s="93"/>
      <c r="AH2436" s="93"/>
      <c r="AI2436" s="93"/>
      <c r="AJ2436" s="93"/>
    </row>
    <row r="2437" spans="30:36" ht="18">
      <c r="AD2437" s="93"/>
      <c r="AE2437" s="214"/>
      <c r="AF2437" s="93"/>
      <c r="AG2437" s="93"/>
      <c r="AH2437" s="93"/>
      <c r="AI2437" s="93"/>
      <c r="AJ2437" s="93"/>
    </row>
    <row r="2438" spans="30:36" ht="18">
      <c r="AD2438" s="93"/>
      <c r="AE2438" s="214"/>
      <c r="AF2438" s="93"/>
      <c r="AG2438" s="93"/>
      <c r="AH2438" s="93"/>
      <c r="AI2438" s="93"/>
      <c r="AJ2438" s="93"/>
    </row>
    <row r="2439" spans="30:36" ht="18">
      <c r="AD2439" s="93"/>
      <c r="AE2439" s="214"/>
      <c r="AF2439" s="93"/>
      <c r="AG2439" s="93"/>
      <c r="AH2439" s="93"/>
      <c r="AI2439" s="93"/>
      <c r="AJ2439" s="93"/>
    </row>
    <row r="2440" spans="30:36" ht="18">
      <c r="AD2440" s="93"/>
      <c r="AE2440" s="214"/>
      <c r="AF2440" s="93"/>
      <c r="AG2440" s="93"/>
      <c r="AH2440" s="93"/>
      <c r="AI2440" s="93"/>
      <c r="AJ2440" s="93"/>
    </row>
    <row r="2441" spans="30:36" ht="18">
      <c r="AD2441" s="93"/>
      <c r="AE2441" s="214"/>
      <c r="AF2441" s="93"/>
      <c r="AG2441" s="93"/>
      <c r="AH2441" s="93"/>
      <c r="AI2441" s="93"/>
      <c r="AJ2441" s="93"/>
    </row>
    <row r="2442" spans="30:36" ht="18">
      <c r="AD2442" s="93"/>
      <c r="AE2442" s="214"/>
      <c r="AF2442" s="93"/>
      <c r="AG2442" s="93"/>
      <c r="AH2442" s="93"/>
      <c r="AI2442" s="93"/>
      <c r="AJ2442" s="93"/>
    </row>
    <row r="2443" spans="30:36" ht="18">
      <c r="AD2443" s="93"/>
      <c r="AE2443" s="214"/>
      <c r="AF2443" s="93"/>
      <c r="AG2443" s="93"/>
      <c r="AH2443" s="93"/>
      <c r="AI2443" s="93"/>
      <c r="AJ2443" s="93"/>
    </row>
    <row r="2444" spans="30:36" ht="18">
      <c r="AD2444" s="93"/>
      <c r="AE2444" s="214"/>
      <c r="AF2444" s="93"/>
      <c r="AG2444" s="93"/>
      <c r="AH2444" s="93"/>
      <c r="AI2444" s="93"/>
      <c r="AJ2444" s="93"/>
    </row>
    <row r="2445" spans="30:36" ht="18">
      <c r="AD2445" s="93"/>
      <c r="AE2445" s="214"/>
      <c r="AF2445" s="93"/>
      <c r="AG2445" s="93"/>
      <c r="AH2445" s="93"/>
      <c r="AI2445" s="93"/>
      <c r="AJ2445" s="93"/>
    </row>
    <row r="2446" spans="30:36" ht="18">
      <c r="AD2446" s="93"/>
      <c r="AE2446" s="214"/>
      <c r="AF2446" s="93"/>
      <c r="AG2446" s="93"/>
      <c r="AH2446" s="93"/>
      <c r="AI2446" s="93"/>
      <c r="AJ2446" s="93"/>
    </row>
    <row r="2447" spans="30:36" ht="18">
      <c r="AD2447" s="93"/>
      <c r="AE2447" s="214"/>
      <c r="AF2447" s="93"/>
      <c r="AG2447" s="93"/>
      <c r="AH2447" s="93"/>
      <c r="AI2447" s="93"/>
      <c r="AJ2447" s="93"/>
    </row>
    <row r="2448" spans="30:36" ht="18">
      <c r="AD2448" s="93"/>
      <c r="AE2448" s="215"/>
      <c r="AF2448" s="93"/>
      <c r="AG2448" s="93"/>
      <c r="AH2448" s="93"/>
      <c r="AI2448" s="93"/>
      <c r="AJ2448" s="93"/>
    </row>
    <row r="2449" spans="30:36" ht="18">
      <c r="AD2449" s="93"/>
      <c r="AE2449" s="215"/>
      <c r="AF2449" s="93"/>
      <c r="AG2449" s="93"/>
      <c r="AH2449" s="93"/>
      <c r="AI2449" s="93"/>
      <c r="AJ2449" s="93"/>
    </row>
    <row r="2450" spans="30:36" ht="18">
      <c r="AD2450" s="93"/>
      <c r="AE2450" s="214"/>
      <c r="AF2450" s="93"/>
      <c r="AG2450" s="93"/>
      <c r="AH2450" s="93"/>
      <c r="AI2450" s="93"/>
      <c r="AJ2450" s="93"/>
    </row>
    <row r="2451" spans="30:36" ht="18">
      <c r="AD2451" s="93"/>
      <c r="AE2451" s="214"/>
      <c r="AF2451" s="93"/>
      <c r="AG2451" s="93"/>
      <c r="AH2451" s="93"/>
      <c r="AI2451" s="93"/>
      <c r="AJ2451" s="93"/>
    </row>
    <row r="2452" spans="30:36" ht="18">
      <c r="AD2452" s="93"/>
      <c r="AE2452" s="214"/>
      <c r="AF2452" s="93"/>
      <c r="AG2452" s="93"/>
      <c r="AH2452" s="93"/>
      <c r="AI2452" s="93"/>
      <c r="AJ2452" s="93"/>
    </row>
    <row r="2453" spans="30:36" ht="18">
      <c r="AD2453" s="93"/>
      <c r="AE2453" s="214"/>
      <c r="AF2453" s="93"/>
      <c r="AG2453" s="93"/>
      <c r="AH2453" s="93"/>
      <c r="AI2453" s="93"/>
      <c r="AJ2453" s="93"/>
    </row>
    <row r="2454" spans="30:36" ht="18">
      <c r="AD2454" s="93"/>
      <c r="AE2454" s="214"/>
      <c r="AF2454" s="93"/>
      <c r="AG2454" s="93"/>
      <c r="AH2454" s="93"/>
      <c r="AI2454" s="93"/>
      <c r="AJ2454" s="93"/>
    </row>
    <row r="2455" spans="30:36" ht="18">
      <c r="AD2455" s="93"/>
      <c r="AE2455" s="215"/>
      <c r="AF2455" s="93"/>
      <c r="AG2455" s="93"/>
      <c r="AH2455" s="93"/>
      <c r="AI2455" s="93"/>
      <c r="AJ2455" s="93"/>
    </row>
    <row r="2456" spans="30:36" ht="18">
      <c r="AD2456" s="93"/>
      <c r="AE2456" s="214"/>
      <c r="AF2456" s="93"/>
      <c r="AG2456" s="93"/>
      <c r="AH2456" s="93"/>
      <c r="AI2456" s="93"/>
      <c r="AJ2456" s="93"/>
    </row>
    <row r="2457" spans="30:36" ht="18">
      <c r="AD2457" s="93"/>
      <c r="AE2457" s="214"/>
      <c r="AF2457" s="93"/>
      <c r="AG2457" s="93"/>
      <c r="AH2457" s="93"/>
      <c r="AI2457" s="93"/>
      <c r="AJ2457" s="93"/>
    </row>
    <row r="2458" spans="30:36" ht="18">
      <c r="AD2458" s="93"/>
      <c r="AE2458" s="214"/>
      <c r="AF2458" s="93"/>
      <c r="AG2458" s="93"/>
      <c r="AH2458" s="93"/>
      <c r="AI2458" s="93"/>
      <c r="AJ2458" s="93"/>
    </row>
    <row r="2459" spans="30:36" ht="18">
      <c r="AD2459" s="93"/>
      <c r="AE2459" s="214"/>
      <c r="AF2459" s="93"/>
      <c r="AG2459" s="93"/>
      <c r="AH2459" s="93"/>
      <c r="AI2459" s="93"/>
      <c r="AJ2459" s="93"/>
    </row>
    <row r="2460" spans="30:36" ht="18">
      <c r="AD2460" s="93"/>
      <c r="AE2460" s="215"/>
      <c r="AF2460" s="93"/>
      <c r="AG2460" s="93"/>
      <c r="AH2460" s="93"/>
      <c r="AI2460" s="93"/>
      <c r="AJ2460" s="93"/>
    </row>
    <row r="2461" spans="30:36" ht="18">
      <c r="AD2461" s="93"/>
      <c r="AE2461" s="214"/>
      <c r="AF2461" s="93"/>
      <c r="AG2461" s="93"/>
      <c r="AH2461" s="93"/>
      <c r="AI2461" s="93"/>
      <c r="AJ2461" s="93"/>
    </row>
    <row r="2462" spans="30:36" ht="18">
      <c r="AD2462" s="93"/>
      <c r="AE2462" s="214"/>
      <c r="AF2462" s="93"/>
      <c r="AG2462" s="93"/>
      <c r="AH2462" s="93"/>
      <c r="AI2462" s="93"/>
      <c r="AJ2462" s="93"/>
    </row>
    <row r="2463" spans="30:36" ht="18">
      <c r="AD2463" s="93"/>
      <c r="AE2463" s="214"/>
      <c r="AF2463" s="93"/>
      <c r="AG2463" s="93"/>
      <c r="AH2463" s="93"/>
      <c r="AI2463" s="93"/>
      <c r="AJ2463" s="93"/>
    </row>
    <row r="2464" spans="30:36" ht="18">
      <c r="AD2464" s="93"/>
      <c r="AE2464" s="214"/>
      <c r="AF2464" s="93"/>
      <c r="AG2464" s="93"/>
      <c r="AH2464" s="93"/>
      <c r="AI2464" s="93"/>
      <c r="AJ2464" s="93"/>
    </row>
    <row r="2465" spans="30:36" ht="18">
      <c r="AD2465" s="93"/>
      <c r="AE2465" s="215"/>
      <c r="AF2465" s="93"/>
      <c r="AG2465" s="93"/>
      <c r="AH2465" s="93"/>
      <c r="AI2465" s="93"/>
      <c r="AJ2465" s="93"/>
    </row>
    <row r="2466" spans="30:36" ht="18">
      <c r="AD2466" s="93"/>
      <c r="AE2466" s="214"/>
      <c r="AF2466" s="93"/>
      <c r="AG2466" s="93"/>
      <c r="AH2466" s="93"/>
      <c r="AI2466" s="93"/>
      <c r="AJ2466" s="93"/>
    </row>
    <row r="2467" spans="30:36" ht="18">
      <c r="AD2467" s="93"/>
      <c r="AE2467" s="214"/>
      <c r="AF2467" s="93"/>
      <c r="AG2467" s="93"/>
      <c r="AH2467" s="93"/>
      <c r="AI2467" s="93"/>
      <c r="AJ2467" s="93"/>
    </row>
    <row r="2468" spans="30:36" ht="18">
      <c r="AD2468" s="93"/>
      <c r="AE2468" s="214"/>
      <c r="AF2468" s="93"/>
      <c r="AG2468" s="93"/>
      <c r="AH2468" s="93"/>
      <c r="AI2468" s="93"/>
      <c r="AJ2468" s="93"/>
    </row>
    <row r="2469" spans="30:36" ht="18">
      <c r="AD2469" s="93"/>
      <c r="AE2469" s="214"/>
      <c r="AF2469" s="93"/>
      <c r="AG2469" s="93"/>
      <c r="AH2469" s="93"/>
      <c r="AI2469" s="93"/>
      <c r="AJ2469" s="93"/>
    </row>
    <row r="2470" spans="30:36" ht="18">
      <c r="AD2470" s="93"/>
      <c r="AE2470" s="214"/>
      <c r="AF2470" s="93"/>
      <c r="AG2470" s="93"/>
      <c r="AH2470" s="93"/>
      <c r="AI2470" s="93"/>
      <c r="AJ2470" s="93"/>
    </row>
    <row r="2471" spans="30:36" ht="18">
      <c r="AD2471" s="93"/>
      <c r="AE2471" s="214"/>
      <c r="AF2471" s="93"/>
      <c r="AG2471" s="93"/>
      <c r="AH2471" s="93"/>
      <c r="AI2471" s="93"/>
      <c r="AJ2471" s="93"/>
    </row>
    <row r="2472" spans="30:36" ht="18">
      <c r="AD2472" s="93"/>
      <c r="AE2472" s="214"/>
      <c r="AF2472" s="93"/>
      <c r="AG2472" s="93"/>
      <c r="AH2472" s="93"/>
      <c r="AI2472" s="93"/>
      <c r="AJ2472" s="93"/>
    </row>
    <row r="2473" spans="30:36" ht="18">
      <c r="AD2473" s="93"/>
      <c r="AE2473" s="214"/>
      <c r="AF2473" s="93"/>
      <c r="AG2473" s="93"/>
      <c r="AH2473" s="93"/>
      <c r="AI2473" s="93"/>
      <c r="AJ2473" s="93"/>
    </row>
    <row r="2474" spans="30:36" ht="18">
      <c r="AD2474" s="93"/>
      <c r="AE2474" s="214"/>
      <c r="AF2474" s="93"/>
      <c r="AG2474" s="93"/>
      <c r="AH2474" s="93"/>
      <c r="AI2474" s="93"/>
      <c r="AJ2474" s="93"/>
    </row>
    <row r="2475" spans="30:36" ht="18">
      <c r="AD2475" s="93"/>
      <c r="AE2475" s="215"/>
      <c r="AF2475" s="93"/>
      <c r="AG2475" s="93"/>
      <c r="AH2475" s="93"/>
      <c r="AI2475" s="93"/>
      <c r="AJ2475" s="93"/>
    </row>
    <row r="2476" spans="30:36" ht="18">
      <c r="AD2476" s="93"/>
      <c r="AE2476" s="214"/>
      <c r="AF2476" s="93"/>
      <c r="AG2476" s="93"/>
      <c r="AH2476" s="93"/>
      <c r="AI2476" s="93"/>
      <c r="AJ2476" s="93"/>
    </row>
    <row r="2477" spans="30:36" ht="18">
      <c r="AD2477" s="93"/>
      <c r="AE2477" s="214"/>
      <c r="AF2477" s="93"/>
      <c r="AG2477" s="93"/>
      <c r="AH2477" s="93"/>
      <c r="AI2477" s="93"/>
      <c r="AJ2477" s="93"/>
    </row>
    <row r="2478" spans="30:36" ht="18">
      <c r="AD2478" s="93"/>
      <c r="AE2478" s="214"/>
      <c r="AF2478" s="93"/>
      <c r="AG2478" s="93"/>
      <c r="AH2478" s="93"/>
      <c r="AI2478" s="93"/>
      <c r="AJ2478" s="93"/>
    </row>
    <row r="2479" spans="30:36" ht="18">
      <c r="AD2479" s="93"/>
      <c r="AE2479" s="214"/>
      <c r="AF2479" s="93"/>
      <c r="AG2479" s="93"/>
      <c r="AH2479" s="93"/>
      <c r="AI2479" s="93"/>
      <c r="AJ2479" s="93"/>
    </row>
    <row r="2480" spans="30:36" ht="18">
      <c r="AD2480" s="93"/>
      <c r="AE2480" s="214"/>
      <c r="AF2480" s="93"/>
      <c r="AG2480" s="93"/>
      <c r="AH2480" s="93"/>
      <c r="AI2480" s="93"/>
      <c r="AJ2480" s="93"/>
    </row>
    <row r="2481" spans="30:36" ht="18">
      <c r="AD2481" s="93"/>
      <c r="AE2481" s="214"/>
      <c r="AF2481" s="93"/>
      <c r="AG2481" s="93"/>
      <c r="AH2481" s="93"/>
      <c r="AI2481" s="93"/>
      <c r="AJ2481" s="93"/>
    </row>
    <row r="2482" spans="30:36" ht="18">
      <c r="AD2482" s="93"/>
      <c r="AE2482" s="214"/>
      <c r="AF2482" s="93"/>
      <c r="AG2482" s="93"/>
      <c r="AH2482" s="93"/>
      <c r="AI2482" s="93"/>
      <c r="AJ2482" s="93"/>
    </row>
    <row r="2483" spans="30:36" ht="18">
      <c r="AD2483" s="93"/>
      <c r="AE2483" s="214"/>
      <c r="AF2483" s="93"/>
      <c r="AG2483" s="93"/>
      <c r="AH2483" s="93"/>
      <c r="AI2483" s="93"/>
      <c r="AJ2483" s="93"/>
    </row>
    <row r="2484" spans="30:36" ht="18">
      <c r="AD2484" s="93"/>
      <c r="AE2484" s="214"/>
      <c r="AF2484" s="93"/>
      <c r="AG2484" s="93"/>
      <c r="AH2484" s="93"/>
      <c r="AI2484" s="93"/>
      <c r="AJ2484" s="93"/>
    </row>
    <row r="2485" spans="30:36" ht="18">
      <c r="AD2485" s="93"/>
      <c r="AE2485" s="214"/>
      <c r="AF2485" s="93"/>
      <c r="AG2485" s="93"/>
      <c r="AH2485" s="93"/>
      <c r="AI2485" s="93"/>
      <c r="AJ2485" s="93"/>
    </row>
    <row r="2486" spans="30:36" ht="18">
      <c r="AD2486" s="93"/>
      <c r="AE2486" s="214"/>
      <c r="AF2486" s="93"/>
      <c r="AG2486" s="93"/>
      <c r="AH2486" s="93"/>
      <c r="AI2486" s="93"/>
      <c r="AJ2486" s="93"/>
    </row>
    <row r="2487" spans="30:36" ht="18">
      <c r="AD2487" s="93"/>
      <c r="AE2487" s="215"/>
      <c r="AF2487" s="93"/>
      <c r="AG2487" s="93"/>
      <c r="AH2487" s="93"/>
      <c r="AI2487" s="93"/>
      <c r="AJ2487" s="93"/>
    </row>
    <row r="2488" spans="30:36" ht="18">
      <c r="AD2488" s="93"/>
      <c r="AE2488" s="215"/>
      <c r="AF2488" s="93"/>
      <c r="AG2488" s="93"/>
      <c r="AH2488" s="93"/>
      <c r="AI2488" s="93"/>
      <c r="AJ2488" s="93"/>
    </row>
    <row r="2489" spans="30:36" ht="18">
      <c r="AD2489" s="93"/>
      <c r="AE2489" s="214"/>
      <c r="AF2489" s="93"/>
      <c r="AG2489" s="93"/>
      <c r="AH2489" s="93"/>
      <c r="AI2489" s="93"/>
      <c r="AJ2489" s="93"/>
    </row>
    <row r="2490" spans="30:36" ht="18">
      <c r="AD2490" s="93"/>
      <c r="AE2490" s="214"/>
      <c r="AF2490" s="93"/>
      <c r="AG2490" s="93"/>
      <c r="AH2490" s="93"/>
      <c r="AI2490" s="93"/>
      <c r="AJ2490" s="93"/>
    </row>
    <row r="2491" spans="30:36" ht="18">
      <c r="AD2491" s="93"/>
      <c r="AE2491" s="214"/>
      <c r="AF2491" s="93"/>
      <c r="AG2491" s="93"/>
      <c r="AH2491" s="93"/>
      <c r="AI2491" s="93"/>
      <c r="AJ2491" s="93"/>
    </row>
    <row r="2492" spans="30:36" ht="18">
      <c r="AD2492" s="93"/>
      <c r="AE2492" s="214"/>
      <c r="AF2492" s="93"/>
      <c r="AG2492" s="93"/>
      <c r="AH2492" s="93"/>
      <c r="AI2492" s="93"/>
      <c r="AJ2492" s="93"/>
    </row>
    <row r="2493" spans="30:36" ht="18">
      <c r="AD2493" s="93"/>
      <c r="AE2493" s="214"/>
      <c r="AF2493" s="93"/>
      <c r="AG2493" s="93"/>
      <c r="AH2493" s="93"/>
      <c r="AI2493" s="93"/>
      <c r="AJ2493" s="93"/>
    </row>
    <row r="2494" spans="30:36" ht="18">
      <c r="AD2494" s="93"/>
      <c r="AE2494" s="214"/>
      <c r="AF2494" s="93"/>
      <c r="AG2494" s="93"/>
      <c r="AH2494" s="93"/>
      <c r="AI2494" s="93"/>
      <c r="AJ2494" s="93"/>
    </row>
    <row r="2495" spans="30:36" ht="18">
      <c r="AD2495" s="93"/>
      <c r="AE2495" s="214"/>
      <c r="AF2495" s="93"/>
      <c r="AG2495" s="93"/>
      <c r="AH2495" s="93"/>
      <c r="AI2495" s="93"/>
      <c r="AJ2495" s="93"/>
    </row>
    <row r="2496" spans="30:36" ht="18">
      <c r="AD2496" s="93"/>
      <c r="AE2496" s="214"/>
      <c r="AF2496" s="93"/>
      <c r="AG2496" s="93"/>
      <c r="AH2496" s="93"/>
      <c r="AI2496" s="93"/>
      <c r="AJ2496" s="93"/>
    </row>
    <row r="2497" spans="30:36" ht="18">
      <c r="AD2497" s="93"/>
      <c r="AE2497" s="214"/>
      <c r="AF2497" s="93"/>
      <c r="AG2497" s="93"/>
      <c r="AH2497" s="93"/>
      <c r="AI2497" s="93"/>
      <c r="AJ2497" s="93"/>
    </row>
    <row r="2498" spans="30:36" ht="18">
      <c r="AD2498" s="93"/>
      <c r="AE2498" s="214"/>
      <c r="AF2498" s="93"/>
      <c r="AG2498" s="93"/>
      <c r="AH2498" s="93"/>
      <c r="AI2498" s="93"/>
      <c r="AJ2498" s="93"/>
    </row>
    <row r="2499" spans="30:36" ht="18">
      <c r="AD2499" s="93"/>
      <c r="AE2499" s="214"/>
      <c r="AF2499" s="93"/>
      <c r="AG2499" s="93"/>
      <c r="AH2499" s="93"/>
      <c r="AI2499" s="93"/>
      <c r="AJ2499" s="93"/>
    </row>
    <row r="2500" spans="30:36" ht="18">
      <c r="AD2500" s="93"/>
      <c r="AE2500" s="214"/>
      <c r="AF2500" s="93"/>
      <c r="AG2500" s="93"/>
      <c r="AH2500" s="93"/>
      <c r="AI2500" s="93"/>
      <c r="AJ2500" s="93"/>
    </row>
    <row r="2501" spans="30:36" ht="18">
      <c r="AD2501" s="93"/>
      <c r="AE2501" s="214"/>
      <c r="AF2501" s="93"/>
      <c r="AG2501" s="93"/>
      <c r="AH2501" s="93"/>
      <c r="AI2501" s="93"/>
      <c r="AJ2501" s="93"/>
    </row>
    <row r="2502" spans="30:36" ht="18">
      <c r="AD2502" s="93"/>
      <c r="AE2502" s="214"/>
      <c r="AF2502" s="93"/>
      <c r="AG2502" s="93"/>
      <c r="AH2502" s="93"/>
      <c r="AI2502" s="93"/>
      <c r="AJ2502" s="93"/>
    </row>
    <row r="2503" spans="30:36" ht="18">
      <c r="AD2503" s="93"/>
      <c r="AE2503" s="214"/>
      <c r="AF2503" s="93"/>
      <c r="AG2503" s="93"/>
      <c r="AH2503" s="93"/>
      <c r="AI2503" s="93"/>
      <c r="AJ2503" s="93"/>
    </row>
    <row r="2504" spans="30:36" ht="18">
      <c r="AD2504" s="93"/>
      <c r="AE2504" s="214"/>
      <c r="AF2504" s="93"/>
      <c r="AG2504" s="93"/>
      <c r="AH2504" s="93"/>
      <c r="AI2504" s="93"/>
      <c r="AJ2504" s="93"/>
    </row>
    <row r="2505" spans="30:36" ht="18">
      <c r="AD2505" s="93"/>
      <c r="AE2505" s="214"/>
      <c r="AF2505" s="93"/>
      <c r="AG2505" s="93"/>
      <c r="AH2505" s="93"/>
      <c r="AI2505" s="93"/>
      <c r="AJ2505" s="93"/>
    </row>
    <row r="2506" spans="30:36" ht="18">
      <c r="AD2506" s="93"/>
      <c r="AE2506" s="214"/>
      <c r="AF2506" s="93"/>
      <c r="AG2506" s="93"/>
      <c r="AH2506" s="93"/>
      <c r="AI2506" s="93"/>
      <c r="AJ2506" s="93"/>
    </row>
    <row r="2507" spans="30:36" ht="18">
      <c r="AD2507" s="93"/>
      <c r="AE2507" s="214"/>
      <c r="AF2507" s="93"/>
      <c r="AG2507" s="93"/>
      <c r="AH2507" s="93"/>
      <c r="AI2507" s="93"/>
      <c r="AJ2507" s="93"/>
    </row>
    <row r="2508" spans="30:36" ht="18">
      <c r="AD2508" s="93"/>
      <c r="AE2508" s="214"/>
      <c r="AF2508" s="93"/>
      <c r="AG2508" s="93"/>
      <c r="AH2508" s="93"/>
      <c r="AI2508" s="93"/>
      <c r="AJ2508" s="93"/>
    </row>
    <row r="2509" spans="30:36" ht="18">
      <c r="AD2509" s="93"/>
      <c r="AE2509" s="214"/>
      <c r="AF2509" s="93"/>
      <c r="AG2509" s="93"/>
      <c r="AH2509" s="93"/>
      <c r="AI2509" s="93"/>
      <c r="AJ2509" s="93"/>
    </row>
    <row r="2510" spans="30:36" ht="18">
      <c r="AD2510" s="93"/>
      <c r="AE2510" s="214"/>
      <c r="AF2510" s="93"/>
      <c r="AG2510" s="93"/>
      <c r="AH2510" s="93"/>
      <c r="AI2510" s="93"/>
      <c r="AJ2510" s="93"/>
    </row>
    <row r="2511" spans="30:36" ht="18">
      <c r="AD2511" s="93"/>
      <c r="AE2511" s="214"/>
      <c r="AF2511" s="93"/>
      <c r="AG2511" s="93"/>
      <c r="AH2511" s="93"/>
      <c r="AI2511" s="93"/>
      <c r="AJ2511" s="93"/>
    </row>
    <row r="2512" spans="30:36" ht="18">
      <c r="AD2512" s="93"/>
      <c r="AE2512" s="214"/>
      <c r="AF2512" s="93"/>
      <c r="AG2512" s="93"/>
      <c r="AH2512" s="93"/>
      <c r="AI2512" s="93"/>
      <c r="AJ2512" s="93"/>
    </row>
    <row r="2513" spans="30:36" ht="18">
      <c r="AD2513" s="93"/>
      <c r="AE2513" s="214"/>
      <c r="AF2513" s="93"/>
      <c r="AG2513" s="93"/>
      <c r="AH2513" s="93"/>
      <c r="AI2513" s="93"/>
      <c r="AJ2513" s="93"/>
    </row>
    <row r="2514" spans="30:36" ht="18">
      <c r="AD2514" s="93"/>
      <c r="AE2514" s="214"/>
      <c r="AF2514" s="93"/>
      <c r="AG2514" s="93"/>
      <c r="AH2514" s="93"/>
      <c r="AI2514" s="93"/>
      <c r="AJ2514" s="93"/>
    </row>
    <row r="2515" spans="30:36" ht="18">
      <c r="AD2515" s="93"/>
      <c r="AE2515" s="214"/>
      <c r="AF2515" s="93"/>
      <c r="AG2515" s="93"/>
      <c r="AH2515" s="93"/>
      <c r="AI2515" s="93"/>
      <c r="AJ2515" s="93"/>
    </row>
    <row r="2516" spans="30:36" ht="18">
      <c r="AD2516" s="93"/>
      <c r="AE2516" s="214"/>
      <c r="AF2516" s="93"/>
      <c r="AG2516" s="93"/>
      <c r="AH2516" s="93"/>
      <c r="AI2516" s="93"/>
      <c r="AJ2516" s="93"/>
    </row>
    <row r="2517" spans="30:36" ht="18">
      <c r="AD2517" s="93"/>
      <c r="AE2517" s="214"/>
      <c r="AF2517" s="93"/>
      <c r="AG2517" s="93"/>
      <c r="AH2517" s="93"/>
      <c r="AI2517" s="93"/>
      <c r="AJ2517" s="93"/>
    </row>
    <row r="2518" spans="30:36" ht="18">
      <c r="AD2518" s="93"/>
      <c r="AE2518" s="214"/>
      <c r="AF2518" s="93"/>
      <c r="AG2518" s="93"/>
      <c r="AH2518" s="93"/>
      <c r="AI2518" s="93"/>
      <c r="AJ2518" s="93"/>
    </row>
    <row r="2519" spans="30:36" ht="18">
      <c r="AD2519" s="93"/>
      <c r="AE2519" s="215"/>
      <c r="AF2519" s="93"/>
      <c r="AG2519" s="93"/>
      <c r="AH2519" s="93"/>
      <c r="AI2519" s="93"/>
      <c r="AJ2519" s="93"/>
    </row>
    <row r="2520" spans="30:36" ht="18">
      <c r="AD2520" s="93"/>
      <c r="AE2520" s="215"/>
      <c r="AF2520" s="93"/>
      <c r="AG2520" s="93"/>
      <c r="AH2520" s="93"/>
      <c r="AI2520" s="93"/>
      <c r="AJ2520" s="93"/>
    </row>
    <row r="2521" spans="30:36" ht="18">
      <c r="AD2521" s="93"/>
      <c r="AE2521" s="214"/>
      <c r="AF2521" s="93"/>
      <c r="AG2521" s="93"/>
      <c r="AH2521" s="93"/>
      <c r="AI2521" s="93"/>
      <c r="AJ2521" s="93"/>
    </row>
    <row r="2522" spans="30:36" ht="18">
      <c r="AD2522" s="93"/>
      <c r="AE2522" s="214"/>
      <c r="AF2522" s="93"/>
      <c r="AG2522" s="93"/>
      <c r="AH2522" s="93"/>
      <c r="AI2522" s="93"/>
      <c r="AJ2522" s="93"/>
    </row>
    <row r="2523" spans="30:36" ht="18">
      <c r="AD2523" s="93"/>
      <c r="AE2523" s="214"/>
      <c r="AF2523" s="93"/>
      <c r="AG2523" s="93"/>
      <c r="AH2523" s="93"/>
      <c r="AI2523" s="93"/>
      <c r="AJ2523" s="93"/>
    </row>
    <row r="2524" spans="30:36" ht="18">
      <c r="AD2524" s="93"/>
      <c r="AE2524" s="214"/>
      <c r="AF2524" s="93"/>
      <c r="AG2524" s="93"/>
      <c r="AH2524" s="93"/>
      <c r="AI2524" s="93"/>
      <c r="AJ2524" s="93"/>
    </row>
    <row r="2525" spans="30:36" ht="18">
      <c r="AD2525" s="93"/>
      <c r="AE2525" s="214"/>
      <c r="AF2525" s="93"/>
      <c r="AG2525" s="93"/>
      <c r="AH2525" s="93"/>
      <c r="AI2525" s="93"/>
      <c r="AJ2525" s="93"/>
    </row>
    <row r="2526" spans="30:36" ht="18">
      <c r="AD2526" s="93"/>
      <c r="AE2526" s="215"/>
      <c r="AF2526" s="93"/>
      <c r="AG2526" s="93"/>
      <c r="AH2526" s="93"/>
      <c r="AI2526" s="93"/>
      <c r="AJ2526" s="93"/>
    </row>
    <row r="2527" spans="30:36" ht="18">
      <c r="AD2527" s="93"/>
      <c r="AE2527" s="214"/>
      <c r="AF2527" s="93"/>
      <c r="AG2527" s="93"/>
      <c r="AH2527" s="93"/>
      <c r="AI2527" s="93"/>
      <c r="AJ2527" s="93"/>
    </row>
    <row r="2528" spans="30:36" ht="18">
      <c r="AD2528" s="93"/>
      <c r="AE2528" s="214"/>
      <c r="AF2528" s="93"/>
      <c r="AG2528" s="93"/>
      <c r="AH2528" s="93"/>
      <c r="AI2528" s="93"/>
      <c r="AJ2528" s="93"/>
    </row>
    <row r="2529" spans="30:36" ht="18">
      <c r="AD2529" s="93"/>
      <c r="AE2529" s="215"/>
      <c r="AF2529" s="93"/>
      <c r="AG2529" s="93"/>
      <c r="AH2529" s="93"/>
      <c r="AI2529" s="93"/>
      <c r="AJ2529" s="93"/>
    </row>
    <row r="2530" spans="30:36" ht="18">
      <c r="AD2530" s="93"/>
      <c r="AE2530" s="214"/>
      <c r="AF2530" s="93"/>
      <c r="AG2530" s="93"/>
      <c r="AH2530" s="93"/>
      <c r="AI2530" s="93"/>
      <c r="AJ2530" s="93"/>
    </row>
    <row r="2531" spans="30:36" ht="18">
      <c r="AD2531" s="93"/>
      <c r="AE2531" s="214"/>
      <c r="AF2531" s="93"/>
      <c r="AG2531" s="93"/>
      <c r="AH2531" s="93"/>
      <c r="AI2531" s="93"/>
      <c r="AJ2531" s="93"/>
    </row>
    <row r="2532" spans="30:36" ht="18">
      <c r="AD2532" s="93"/>
      <c r="AE2532" s="215"/>
      <c r="AF2532" s="93"/>
      <c r="AG2532" s="93"/>
      <c r="AH2532" s="93"/>
      <c r="AI2532" s="93"/>
      <c r="AJ2532" s="93"/>
    </row>
    <row r="2533" spans="30:36" ht="18">
      <c r="AD2533" s="93"/>
      <c r="AE2533" s="214"/>
      <c r="AF2533" s="93"/>
      <c r="AG2533" s="93"/>
      <c r="AH2533" s="93"/>
      <c r="AI2533" s="93"/>
      <c r="AJ2533" s="93"/>
    </row>
    <row r="2534" spans="30:36" ht="18">
      <c r="AD2534" s="93"/>
      <c r="AE2534" s="214"/>
      <c r="AF2534" s="93"/>
      <c r="AG2534" s="93"/>
      <c r="AH2534" s="93"/>
      <c r="AI2534" s="93"/>
      <c r="AJ2534" s="93"/>
    </row>
    <row r="2535" spans="30:36" ht="18">
      <c r="AD2535" s="93"/>
      <c r="AE2535" s="215"/>
      <c r="AF2535" s="93"/>
      <c r="AG2535" s="93"/>
      <c r="AH2535" s="93"/>
      <c r="AI2535" s="93"/>
      <c r="AJ2535" s="93"/>
    </row>
    <row r="2536" spans="30:36" ht="18">
      <c r="AD2536" s="93"/>
      <c r="AE2536" s="214"/>
      <c r="AF2536" s="93"/>
      <c r="AG2536" s="93"/>
      <c r="AH2536" s="93"/>
      <c r="AI2536" s="93"/>
      <c r="AJ2536" s="93"/>
    </row>
    <row r="2537" spans="30:36" ht="18">
      <c r="AD2537" s="93"/>
      <c r="AE2537" s="214"/>
      <c r="AF2537" s="93"/>
      <c r="AG2537" s="93"/>
      <c r="AH2537" s="93"/>
      <c r="AI2537" s="93"/>
      <c r="AJ2537" s="93"/>
    </row>
    <row r="2538" spans="30:36" ht="18">
      <c r="AD2538" s="93"/>
      <c r="AE2538" s="214"/>
      <c r="AF2538" s="93"/>
      <c r="AG2538" s="93"/>
      <c r="AH2538" s="93"/>
      <c r="AI2538" s="93"/>
      <c r="AJ2538" s="93"/>
    </row>
    <row r="2539" spans="30:36" ht="18">
      <c r="AD2539" s="93"/>
      <c r="AE2539" s="214"/>
      <c r="AF2539" s="93"/>
      <c r="AG2539" s="93"/>
      <c r="AH2539" s="93"/>
      <c r="AI2539" s="93"/>
      <c r="AJ2539" s="93"/>
    </row>
    <row r="2540" spans="30:36" ht="18">
      <c r="AD2540" s="93"/>
      <c r="AE2540" s="214"/>
      <c r="AF2540" s="93"/>
      <c r="AG2540" s="93"/>
      <c r="AH2540" s="93"/>
      <c r="AI2540" s="93"/>
      <c r="AJ2540" s="93"/>
    </row>
    <row r="2541" spans="30:36" ht="18">
      <c r="AD2541" s="93"/>
      <c r="AE2541" s="214"/>
      <c r="AF2541" s="93"/>
      <c r="AG2541" s="93"/>
      <c r="AH2541" s="93"/>
      <c r="AI2541" s="93"/>
      <c r="AJ2541" s="93"/>
    </row>
    <row r="2542" spans="30:36" ht="18">
      <c r="AD2542" s="93"/>
      <c r="AE2542" s="214"/>
      <c r="AF2542" s="93"/>
      <c r="AG2542" s="93"/>
      <c r="AH2542" s="93"/>
      <c r="AI2542" s="93"/>
      <c r="AJ2542" s="93"/>
    </row>
    <row r="2543" spans="30:36" ht="18">
      <c r="AD2543" s="93"/>
      <c r="AE2543" s="214"/>
      <c r="AF2543" s="93"/>
      <c r="AG2543" s="93"/>
      <c r="AH2543" s="93"/>
      <c r="AI2543" s="93"/>
      <c r="AJ2543" s="93"/>
    </row>
    <row r="2544" spans="30:36" ht="18">
      <c r="AD2544" s="93"/>
      <c r="AE2544" s="214"/>
      <c r="AF2544" s="93"/>
      <c r="AG2544" s="93"/>
      <c r="AH2544" s="93"/>
      <c r="AI2544" s="93"/>
      <c r="AJ2544" s="93"/>
    </row>
    <row r="2545" spans="30:36" ht="18">
      <c r="AD2545" s="93"/>
      <c r="AE2545" s="215"/>
      <c r="AF2545" s="93"/>
      <c r="AG2545" s="93"/>
      <c r="AH2545" s="93"/>
      <c r="AI2545" s="93"/>
      <c r="AJ2545" s="93"/>
    </row>
    <row r="2546" spans="30:36" ht="18">
      <c r="AD2546" s="93"/>
      <c r="AE2546" s="214"/>
      <c r="AF2546" s="93"/>
      <c r="AG2546" s="93"/>
      <c r="AH2546" s="93"/>
      <c r="AI2546" s="93"/>
      <c r="AJ2546" s="93"/>
    </row>
    <row r="2547" spans="30:36" ht="18">
      <c r="AD2547" s="93"/>
      <c r="AE2547" s="214"/>
      <c r="AF2547" s="93"/>
      <c r="AG2547" s="93"/>
      <c r="AH2547" s="93"/>
      <c r="AI2547" s="93"/>
      <c r="AJ2547" s="93"/>
    </row>
    <row r="2548" spans="30:36" ht="18">
      <c r="AD2548" s="93"/>
      <c r="AE2548" s="215"/>
      <c r="AF2548" s="93"/>
      <c r="AG2548" s="93"/>
      <c r="AH2548" s="93"/>
      <c r="AI2548" s="93"/>
      <c r="AJ2548" s="93"/>
    </row>
    <row r="2549" spans="30:36" ht="18">
      <c r="AD2549" s="93"/>
      <c r="AE2549" s="214"/>
      <c r="AF2549" s="93"/>
      <c r="AG2549" s="93"/>
      <c r="AH2549" s="93"/>
      <c r="AI2549" s="93"/>
      <c r="AJ2549" s="93"/>
    </row>
    <row r="2550" spans="30:36" ht="18">
      <c r="AD2550" s="93"/>
      <c r="AE2550" s="214"/>
      <c r="AF2550" s="93"/>
      <c r="AG2550" s="93"/>
      <c r="AH2550" s="93"/>
      <c r="AI2550" s="93"/>
      <c r="AJ2550" s="93"/>
    </row>
    <row r="2551" spans="30:36" ht="18">
      <c r="AD2551" s="93"/>
      <c r="AE2551" s="214"/>
      <c r="AF2551" s="93"/>
      <c r="AG2551" s="93"/>
      <c r="AH2551" s="93"/>
      <c r="AI2551" s="93"/>
      <c r="AJ2551" s="93"/>
    </row>
    <row r="2552" spans="30:36" ht="18">
      <c r="AD2552" s="93"/>
      <c r="AE2552" s="214"/>
      <c r="AF2552" s="93"/>
      <c r="AG2552" s="93"/>
      <c r="AH2552" s="93"/>
      <c r="AI2552" s="93"/>
      <c r="AJ2552" s="93"/>
    </row>
    <row r="2553" spans="30:36" ht="18">
      <c r="AD2553" s="93"/>
      <c r="AE2553" s="215"/>
      <c r="AF2553" s="93"/>
      <c r="AG2553" s="93"/>
      <c r="AH2553" s="93"/>
      <c r="AI2553" s="93"/>
      <c r="AJ2553" s="93"/>
    </row>
    <row r="2554" spans="30:36" ht="18">
      <c r="AD2554" s="93"/>
      <c r="AE2554" s="214"/>
      <c r="AF2554" s="93"/>
      <c r="AG2554" s="93"/>
      <c r="AH2554" s="93"/>
      <c r="AI2554" s="93"/>
      <c r="AJ2554" s="93"/>
    </row>
    <row r="2555" spans="30:36" ht="18">
      <c r="AD2555" s="93"/>
      <c r="AE2555" s="214"/>
      <c r="AF2555" s="93"/>
      <c r="AG2555" s="93"/>
      <c r="AH2555" s="93"/>
      <c r="AI2555" s="93"/>
      <c r="AJ2555" s="93"/>
    </row>
    <row r="2556" spans="30:36" ht="18">
      <c r="AD2556" s="93"/>
      <c r="AE2556" s="215"/>
      <c r="AF2556" s="93"/>
      <c r="AG2556" s="93"/>
      <c r="AH2556" s="93"/>
      <c r="AI2556" s="93"/>
      <c r="AJ2556" s="93"/>
    </row>
    <row r="2557" spans="30:36" ht="18">
      <c r="AD2557" s="93"/>
      <c r="AE2557" s="214"/>
      <c r="AF2557" s="93"/>
      <c r="AG2557" s="93"/>
      <c r="AH2557" s="93"/>
      <c r="AI2557" s="93"/>
      <c r="AJ2557" s="93"/>
    </row>
    <row r="2558" spans="30:36" ht="18">
      <c r="AD2558" s="93"/>
      <c r="AE2558" s="214"/>
      <c r="AF2558" s="93"/>
      <c r="AG2558" s="93"/>
      <c r="AH2558" s="93"/>
      <c r="AI2558" s="93"/>
      <c r="AJ2558" s="93"/>
    </row>
    <row r="2559" spans="30:36" ht="18">
      <c r="AD2559" s="93"/>
      <c r="AE2559" s="215"/>
      <c r="AF2559" s="93"/>
      <c r="AG2559" s="93"/>
      <c r="AH2559" s="93"/>
      <c r="AI2559" s="93"/>
      <c r="AJ2559" s="93"/>
    </row>
    <row r="2560" spans="30:36" ht="18">
      <c r="AD2560" s="93"/>
      <c r="AE2560" s="214"/>
      <c r="AF2560" s="93"/>
      <c r="AG2560" s="93"/>
      <c r="AH2560" s="93"/>
      <c r="AI2560" s="93"/>
      <c r="AJ2560" s="93"/>
    </row>
    <row r="2561" spans="30:36" ht="18">
      <c r="AD2561" s="93"/>
      <c r="AE2561" s="214"/>
      <c r="AF2561" s="93"/>
      <c r="AG2561" s="93"/>
      <c r="AH2561" s="93"/>
      <c r="AI2561" s="93"/>
      <c r="AJ2561" s="93"/>
    </row>
    <row r="2562" spans="30:36" ht="18">
      <c r="AD2562" s="93"/>
      <c r="AE2562" s="214"/>
      <c r="AF2562" s="93"/>
      <c r="AG2562" s="93"/>
      <c r="AH2562" s="93"/>
      <c r="AI2562" s="93"/>
      <c r="AJ2562" s="93"/>
    </row>
    <row r="2563" spans="30:36" ht="18">
      <c r="AD2563" s="93"/>
      <c r="AE2563" s="214"/>
      <c r="AF2563" s="93"/>
      <c r="AG2563" s="93"/>
      <c r="AH2563" s="93"/>
      <c r="AI2563" s="93"/>
      <c r="AJ2563" s="93"/>
    </row>
    <row r="2564" spans="30:36" ht="18">
      <c r="AD2564" s="93"/>
      <c r="AE2564" s="215"/>
      <c r="AF2564" s="93"/>
      <c r="AG2564" s="93"/>
      <c r="AH2564" s="93"/>
      <c r="AI2564" s="93"/>
      <c r="AJ2564" s="93"/>
    </row>
    <row r="2565" spans="30:36" ht="18">
      <c r="AD2565" s="93"/>
      <c r="AE2565" s="214"/>
      <c r="AF2565" s="93"/>
      <c r="AG2565" s="93"/>
      <c r="AH2565" s="93"/>
      <c r="AI2565" s="93"/>
      <c r="AJ2565" s="93"/>
    </row>
    <row r="2566" spans="30:36" ht="18">
      <c r="AD2566" s="93"/>
      <c r="AE2566" s="214"/>
      <c r="AF2566" s="93"/>
      <c r="AG2566" s="93"/>
      <c r="AH2566" s="93"/>
      <c r="AI2566" s="93"/>
      <c r="AJ2566" s="93"/>
    </row>
    <row r="2567" spans="30:36" ht="18">
      <c r="AD2567" s="93"/>
      <c r="AE2567" s="214"/>
      <c r="AF2567" s="93"/>
      <c r="AG2567" s="93"/>
      <c r="AH2567" s="93"/>
      <c r="AI2567" s="93"/>
      <c r="AJ2567" s="93"/>
    </row>
    <row r="2568" spans="30:36" ht="18">
      <c r="AD2568" s="93"/>
      <c r="AE2568" s="214"/>
      <c r="AF2568" s="93"/>
      <c r="AG2568" s="93"/>
      <c r="AH2568" s="93"/>
      <c r="AI2568" s="93"/>
      <c r="AJ2568" s="93"/>
    </row>
    <row r="2569" spans="30:36" ht="18">
      <c r="AD2569" s="93"/>
      <c r="AE2569" s="215"/>
      <c r="AF2569" s="93"/>
      <c r="AG2569" s="93"/>
      <c r="AH2569" s="93"/>
      <c r="AI2569" s="93"/>
      <c r="AJ2569" s="93"/>
    </row>
    <row r="2570" spans="30:36" ht="18">
      <c r="AD2570" s="93"/>
      <c r="AE2570" s="214"/>
      <c r="AF2570" s="93"/>
      <c r="AG2570" s="93"/>
      <c r="AH2570" s="93"/>
      <c r="AI2570" s="93"/>
      <c r="AJ2570" s="93"/>
    </row>
    <row r="2571" spans="30:36" ht="18">
      <c r="AD2571" s="93"/>
      <c r="AE2571" s="214"/>
      <c r="AF2571" s="93"/>
      <c r="AG2571" s="93"/>
      <c r="AH2571" s="93"/>
      <c r="AI2571" s="93"/>
      <c r="AJ2571" s="93"/>
    </row>
    <row r="2572" spans="30:36" ht="18">
      <c r="AD2572" s="93"/>
      <c r="AE2572" s="214"/>
      <c r="AF2572" s="93"/>
      <c r="AG2572" s="93"/>
      <c r="AH2572" s="93"/>
      <c r="AI2572" s="93"/>
      <c r="AJ2572" s="93"/>
    </row>
    <row r="2573" spans="30:36" ht="18">
      <c r="AD2573" s="93"/>
      <c r="AE2573" s="214"/>
      <c r="AF2573" s="93"/>
      <c r="AG2573" s="93"/>
      <c r="AH2573" s="93"/>
      <c r="AI2573" s="93"/>
      <c r="AJ2573" s="93"/>
    </row>
    <row r="2574" spans="30:36" ht="18">
      <c r="AD2574" s="93"/>
      <c r="AE2574" s="215"/>
      <c r="AF2574" s="93"/>
      <c r="AG2574" s="93"/>
      <c r="AH2574" s="93"/>
      <c r="AI2574" s="93"/>
      <c r="AJ2574" s="93"/>
    </row>
    <row r="2575" spans="30:36" ht="18">
      <c r="AD2575" s="93"/>
      <c r="AE2575" s="214"/>
      <c r="AF2575" s="93"/>
      <c r="AG2575" s="93"/>
      <c r="AH2575" s="93"/>
      <c r="AI2575" s="93"/>
      <c r="AJ2575" s="93"/>
    </row>
    <row r="2576" spans="30:36" ht="18">
      <c r="AD2576" s="93"/>
      <c r="AE2576" s="214"/>
      <c r="AF2576" s="93"/>
      <c r="AG2576" s="93"/>
      <c r="AH2576" s="93"/>
      <c r="AI2576" s="93"/>
      <c r="AJ2576" s="93"/>
    </row>
    <row r="2577" spans="30:36" ht="18">
      <c r="AD2577" s="93"/>
      <c r="AE2577" s="214"/>
      <c r="AF2577" s="93"/>
      <c r="AG2577" s="93"/>
      <c r="AH2577" s="93"/>
      <c r="AI2577" s="93"/>
      <c r="AJ2577" s="93"/>
    </row>
    <row r="2578" spans="30:36" ht="18">
      <c r="AD2578" s="93"/>
      <c r="AE2578" s="214"/>
      <c r="AF2578" s="93"/>
      <c r="AG2578" s="93"/>
      <c r="AH2578" s="93"/>
      <c r="AI2578" s="93"/>
      <c r="AJ2578" s="93"/>
    </row>
    <row r="2579" spans="30:36" ht="18">
      <c r="AD2579" s="93"/>
      <c r="AE2579" s="215"/>
      <c r="AF2579" s="93"/>
      <c r="AG2579" s="93"/>
      <c r="AH2579" s="93"/>
      <c r="AI2579" s="93"/>
      <c r="AJ2579" s="93"/>
    </row>
    <row r="2580" spans="30:36" ht="18">
      <c r="AD2580" s="93"/>
      <c r="AE2580" s="214"/>
      <c r="AF2580" s="93"/>
      <c r="AG2580" s="93"/>
      <c r="AH2580" s="93"/>
      <c r="AI2580" s="93"/>
      <c r="AJ2580" s="93"/>
    </row>
    <row r="2581" spans="30:36" ht="18">
      <c r="AD2581" s="93"/>
      <c r="AE2581" s="214"/>
      <c r="AF2581" s="93"/>
      <c r="AG2581" s="93"/>
      <c r="AH2581" s="93"/>
      <c r="AI2581" s="93"/>
      <c r="AJ2581" s="93"/>
    </row>
    <row r="2582" spans="30:36" ht="18">
      <c r="AD2582" s="93"/>
      <c r="AE2582" s="214"/>
      <c r="AF2582" s="93"/>
      <c r="AG2582" s="93"/>
      <c r="AH2582" s="93"/>
      <c r="AI2582" s="93"/>
      <c r="AJ2582" s="93"/>
    </row>
    <row r="2583" spans="30:36" ht="18">
      <c r="AD2583" s="93"/>
      <c r="AE2583" s="214"/>
      <c r="AF2583" s="93"/>
      <c r="AG2583" s="93"/>
      <c r="AH2583" s="93"/>
      <c r="AI2583" s="93"/>
      <c r="AJ2583" s="93"/>
    </row>
    <row r="2584" spans="30:36" ht="18">
      <c r="AD2584" s="93"/>
      <c r="AE2584" s="215"/>
      <c r="AF2584" s="93"/>
      <c r="AG2584" s="93"/>
      <c r="AH2584" s="93"/>
      <c r="AI2584" s="93"/>
      <c r="AJ2584" s="93"/>
    </row>
    <row r="2585" spans="30:36" ht="18">
      <c r="AD2585" s="93"/>
      <c r="AE2585" s="214"/>
      <c r="AF2585" s="93"/>
      <c r="AG2585" s="93"/>
      <c r="AH2585" s="93"/>
      <c r="AI2585" s="93"/>
      <c r="AJ2585" s="93"/>
    </row>
    <row r="2586" spans="30:36" ht="18">
      <c r="AD2586" s="93"/>
      <c r="AE2586" s="214"/>
      <c r="AF2586" s="93"/>
      <c r="AG2586" s="93"/>
      <c r="AH2586" s="93"/>
      <c r="AI2586" s="93"/>
      <c r="AJ2586" s="93"/>
    </row>
    <row r="2587" spans="30:36" ht="18">
      <c r="AD2587" s="93"/>
      <c r="AE2587" s="214"/>
      <c r="AF2587" s="93"/>
      <c r="AG2587" s="93"/>
      <c r="AH2587" s="93"/>
      <c r="AI2587" s="93"/>
      <c r="AJ2587" s="93"/>
    </row>
    <row r="2588" spans="30:36" ht="18">
      <c r="AD2588" s="93"/>
      <c r="AE2588" s="214"/>
      <c r="AF2588" s="93"/>
      <c r="AG2588" s="93"/>
      <c r="AH2588" s="93"/>
      <c r="AI2588" s="93"/>
      <c r="AJ2588" s="93"/>
    </row>
    <row r="2589" spans="30:36" ht="18">
      <c r="AD2589" s="93"/>
      <c r="AE2589" s="215"/>
      <c r="AF2589" s="93"/>
      <c r="AG2589" s="93"/>
      <c r="AH2589" s="93"/>
      <c r="AI2589" s="93"/>
      <c r="AJ2589" s="93"/>
    </row>
    <row r="2590" spans="30:36" ht="18">
      <c r="AD2590" s="93"/>
      <c r="AE2590" s="214"/>
      <c r="AF2590" s="93"/>
      <c r="AG2590" s="93"/>
      <c r="AH2590" s="93"/>
      <c r="AI2590" s="93"/>
      <c r="AJ2590" s="93"/>
    </row>
    <row r="2591" spans="30:36" ht="18">
      <c r="AD2591" s="93"/>
      <c r="AE2591" s="214"/>
      <c r="AF2591" s="93"/>
      <c r="AG2591" s="93"/>
      <c r="AH2591" s="93"/>
      <c r="AI2591" s="93"/>
      <c r="AJ2591" s="93"/>
    </row>
    <row r="2592" spans="30:36" ht="18">
      <c r="AD2592" s="93"/>
      <c r="AE2592" s="215"/>
      <c r="AF2592" s="93"/>
      <c r="AG2592" s="93"/>
      <c r="AH2592" s="93"/>
      <c r="AI2592" s="93"/>
      <c r="AJ2592" s="93"/>
    </row>
    <row r="2593" spans="30:36" ht="18">
      <c r="AD2593" s="93"/>
      <c r="AE2593" s="214"/>
      <c r="AF2593" s="93"/>
      <c r="AG2593" s="93"/>
      <c r="AH2593" s="93"/>
      <c r="AI2593" s="93"/>
      <c r="AJ2593" s="93"/>
    </row>
    <row r="2594" spans="30:36" ht="18">
      <c r="AD2594" s="93"/>
      <c r="AE2594" s="214"/>
      <c r="AF2594" s="93"/>
      <c r="AG2594" s="93"/>
      <c r="AH2594" s="93"/>
      <c r="AI2594" s="93"/>
      <c r="AJ2594" s="93"/>
    </row>
    <row r="2595" spans="30:36" ht="18">
      <c r="AD2595" s="93"/>
      <c r="AE2595" s="215"/>
      <c r="AF2595" s="93"/>
      <c r="AG2595" s="93"/>
      <c r="AH2595" s="93"/>
      <c r="AI2595" s="93"/>
      <c r="AJ2595" s="93"/>
    </row>
    <row r="2596" spans="30:36" ht="18">
      <c r="AD2596" s="93"/>
      <c r="AE2596" s="214"/>
      <c r="AF2596" s="93"/>
      <c r="AG2596" s="93"/>
      <c r="AH2596" s="93"/>
      <c r="AI2596" s="93"/>
      <c r="AJ2596" s="93"/>
    </row>
    <row r="2597" spans="30:36" ht="18">
      <c r="AD2597" s="93"/>
      <c r="AE2597" s="214"/>
      <c r="AF2597" s="93"/>
      <c r="AG2597" s="93"/>
      <c r="AH2597" s="93"/>
      <c r="AI2597" s="93"/>
      <c r="AJ2597" s="93"/>
    </row>
    <row r="2598" spans="30:36" ht="18">
      <c r="AD2598" s="93"/>
      <c r="AE2598" s="215"/>
      <c r="AF2598" s="93"/>
      <c r="AG2598" s="93"/>
      <c r="AH2598" s="93"/>
      <c r="AI2598" s="93"/>
      <c r="AJ2598" s="93"/>
    </row>
    <row r="2599" spans="30:36" ht="18">
      <c r="AD2599" s="93"/>
      <c r="AE2599" s="214"/>
      <c r="AF2599" s="93"/>
      <c r="AG2599" s="93"/>
      <c r="AH2599" s="93"/>
      <c r="AI2599" s="93"/>
      <c r="AJ2599" s="93"/>
    </row>
    <row r="2600" spans="30:36" ht="18">
      <c r="AD2600" s="93"/>
      <c r="AE2600" s="214"/>
      <c r="AF2600" s="93"/>
      <c r="AG2600" s="93"/>
      <c r="AH2600" s="93"/>
      <c r="AI2600" s="93"/>
      <c r="AJ2600" s="93"/>
    </row>
    <row r="2601" spans="30:36" ht="18">
      <c r="AD2601" s="93"/>
      <c r="AE2601" s="214"/>
      <c r="AF2601" s="93"/>
      <c r="AG2601" s="93"/>
      <c r="AH2601" s="93"/>
      <c r="AI2601" s="93"/>
      <c r="AJ2601" s="93"/>
    </row>
    <row r="2602" spans="30:36" ht="18">
      <c r="AD2602" s="93"/>
      <c r="AE2602" s="214"/>
      <c r="AF2602" s="93"/>
      <c r="AG2602" s="93"/>
      <c r="AH2602" s="93"/>
      <c r="AI2602" s="93"/>
      <c r="AJ2602" s="93"/>
    </row>
    <row r="2603" spans="30:36" ht="18">
      <c r="AD2603" s="93"/>
      <c r="AE2603" s="215"/>
      <c r="AF2603" s="93"/>
      <c r="AG2603" s="93"/>
      <c r="AH2603" s="93"/>
      <c r="AI2603" s="93"/>
      <c r="AJ2603" s="93"/>
    </row>
    <row r="2604" spans="30:36" ht="18">
      <c r="AD2604" s="93"/>
      <c r="AE2604" s="214"/>
      <c r="AF2604" s="93"/>
      <c r="AG2604" s="93"/>
      <c r="AH2604" s="93"/>
      <c r="AI2604" s="93"/>
      <c r="AJ2604" s="93"/>
    </row>
    <row r="2605" spans="30:36" ht="18">
      <c r="AD2605" s="93"/>
      <c r="AE2605" s="214"/>
      <c r="AF2605" s="93"/>
      <c r="AG2605" s="93"/>
      <c r="AH2605" s="93"/>
      <c r="AI2605" s="93"/>
      <c r="AJ2605" s="93"/>
    </row>
    <row r="2606" spans="30:36" ht="18">
      <c r="AD2606" s="93"/>
      <c r="AE2606" s="214"/>
      <c r="AF2606" s="93"/>
      <c r="AG2606" s="93"/>
      <c r="AH2606" s="93"/>
      <c r="AI2606" s="93"/>
      <c r="AJ2606" s="93"/>
    </row>
    <row r="2607" spans="30:36" ht="18">
      <c r="AD2607" s="93"/>
      <c r="AE2607" s="214"/>
      <c r="AF2607" s="93"/>
      <c r="AG2607" s="93"/>
      <c r="AH2607" s="93"/>
      <c r="AI2607" s="93"/>
      <c r="AJ2607" s="93"/>
    </row>
    <row r="2608" spans="30:36" ht="18">
      <c r="AD2608" s="93"/>
      <c r="AE2608" s="215"/>
      <c r="AF2608" s="93"/>
      <c r="AG2608" s="93"/>
      <c r="AH2608" s="93"/>
      <c r="AI2608" s="93"/>
      <c r="AJ2608" s="93"/>
    </row>
    <row r="2609" spans="30:36" ht="18">
      <c r="AD2609" s="93"/>
      <c r="AE2609" s="214"/>
      <c r="AF2609" s="93"/>
      <c r="AG2609" s="93"/>
      <c r="AH2609" s="93"/>
      <c r="AI2609" s="93"/>
      <c r="AJ2609" s="93"/>
    </row>
    <row r="2610" spans="30:36" ht="18">
      <c r="AD2610" s="93"/>
      <c r="AE2610" s="214"/>
      <c r="AF2610" s="93"/>
      <c r="AG2610" s="93"/>
      <c r="AH2610" s="93"/>
      <c r="AI2610" s="93"/>
      <c r="AJ2610" s="93"/>
    </row>
    <row r="2611" spans="30:36" ht="18">
      <c r="AD2611" s="93"/>
      <c r="AE2611" s="214"/>
      <c r="AF2611" s="93"/>
      <c r="AG2611" s="93"/>
      <c r="AH2611" s="93"/>
      <c r="AI2611" s="93"/>
      <c r="AJ2611" s="93"/>
    </row>
    <row r="2612" spans="30:36" ht="18">
      <c r="AD2612" s="93"/>
      <c r="AE2612" s="214"/>
      <c r="AF2612" s="93"/>
      <c r="AG2612" s="93"/>
      <c r="AH2612" s="93"/>
      <c r="AI2612" s="93"/>
      <c r="AJ2612" s="93"/>
    </row>
    <row r="2613" spans="30:36" ht="18">
      <c r="AD2613" s="93"/>
      <c r="AE2613" s="215"/>
      <c r="AF2613" s="93"/>
      <c r="AG2613" s="93"/>
      <c r="AH2613" s="93"/>
      <c r="AI2613" s="93"/>
      <c r="AJ2613" s="93"/>
    </row>
    <row r="2614" spans="30:36" ht="18">
      <c r="AD2614" s="93"/>
      <c r="AE2614" s="214"/>
      <c r="AF2614" s="93"/>
      <c r="AG2614" s="93"/>
      <c r="AH2614" s="93"/>
      <c r="AI2614" s="93"/>
      <c r="AJ2614" s="93"/>
    </row>
    <row r="2615" spans="30:36" ht="18">
      <c r="AD2615" s="93"/>
      <c r="AE2615" s="214"/>
      <c r="AF2615" s="93"/>
      <c r="AG2615" s="93"/>
      <c r="AH2615" s="93"/>
      <c r="AI2615" s="93"/>
      <c r="AJ2615" s="93"/>
    </row>
    <row r="2616" spans="30:36" ht="18">
      <c r="AD2616" s="93"/>
      <c r="AE2616" s="215"/>
      <c r="AF2616" s="93"/>
      <c r="AG2616" s="93"/>
      <c r="AH2616" s="93"/>
      <c r="AI2616" s="93"/>
      <c r="AJ2616" s="93"/>
    </row>
    <row r="2617" spans="30:36" ht="18">
      <c r="AD2617" s="93"/>
      <c r="AE2617" s="214"/>
      <c r="AF2617" s="93"/>
      <c r="AG2617" s="93"/>
      <c r="AH2617" s="93"/>
      <c r="AI2617" s="93"/>
      <c r="AJ2617" s="93"/>
    </row>
    <row r="2618" spans="30:36" ht="18">
      <c r="AD2618" s="93"/>
      <c r="AE2618" s="214"/>
      <c r="AF2618" s="93"/>
      <c r="AG2618" s="93"/>
      <c r="AH2618" s="93"/>
      <c r="AI2618" s="93"/>
      <c r="AJ2618" s="93"/>
    </row>
    <row r="2619" spans="30:36" ht="18">
      <c r="AD2619" s="93"/>
      <c r="AE2619" s="214"/>
      <c r="AF2619" s="93"/>
      <c r="AG2619" s="93"/>
      <c r="AH2619" s="93"/>
      <c r="AI2619" s="93"/>
      <c r="AJ2619" s="93"/>
    </row>
    <row r="2620" spans="30:36" ht="18">
      <c r="AD2620" s="93"/>
      <c r="AE2620" s="214"/>
      <c r="AF2620" s="93"/>
      <c r="AG2620" s="93"/>
      <c r="AH2620" s="93"/>
      <c r="AI2620" s="93"/>
      <c r="AJ2620" s="93"/>
    </row>
    <row r="2621" spans="30:36" ht="18">
      <c r="AD2621" s="93"/>
      <c r="AE2621" s="215"/>
      <c r="AF2621" s="93"/>
      <c r="AG2621" s="93"/>
      <c r="AH2621" s="93"/>
      <c r="AI2621" s="93"/>
      <c r="AJ2621" s="93"/>
    </row>
    <row r="2622" spans="30:36" ht="18">
      <c r="AD2622" s="93"/>
      <c r="AE2622" s="214"/>
      <c r="AF2622" s="93"/>
      <c r="AG2622" s="93"/>
      <c r="AH2622" s="93"/>
      <c r="AI2622" s="93"/>
      <c r="AJ2622" s="93"/>
    </row>
    <row r="2623" spans="30:36" ht="18">
      <c r="AD2623" s="93"/>
      <c r="AE2623" s="214"/>
      <c r="AF2623" s="93"/>
      <c r="AG2623" s="93"/>
      <c r="AH2623" s="93"/>
      <c r="AI2623" s="93"/>
      <c r="AJ2623" s="93"/>
    </row>
    <row r="2624" spans="30:36" ht="18">
      <c r="AD2624" s="93"/>
      <c r="AE2624" s="214"/>
      <c r="AF2624" s="93"/>
      <c r="AG2624" s="93"/>
      <c r="AH2624" s="93"/>
      <c r="AI2624" s="93"/>
      <c r="AJ2624" s="93"/>
    </row>
    <row r="2625" spans="30:36" ht="18">
      <c r="AD2625" s="93"/>
      <c r="AE2625" s="214"/>
      <c r="AF2625" s="93"/>
      <c r="AG2625" s="93"/>
      <c r="AH2625" s="93"/>
      <c r="AI2625" s="93"/>
      <c r="AJ2625" s="93"/>
    </row>
    <row r="2626" spans="30:36" ht="18">
      <c r="AD2626" s="93"/>
      <c r="AE2626" s="215"/>
      <c r="AF2626" s="93"/>
      <c r="AG2626" s="93"/>
      <c r="AH2626" s="93"/>
      <c r="AI2626" s="93"/>
      <c r="AJ2626" s="93"/>
    </row>
    <row r="2627" spans="30:36" ht="18">
      <c r="AD2627" s="93"/>
      <c r="AE2627" s="214"/>
      <c r="AF2627" s="93"/>
      <c r="AG2627" s="93"/>
      <c r="AH2627" s="93"/>
      <c r="AI2627" s="93"/>
      <c r="AJ2627" s="93"/>
    </row>
    <row r="2628" spans="30:36" ht="18">
      <c r="AD2628" s="93"/>
      <c r="AE2628" s="214"/>
      <c r="AF2628" s="93"/>
      <c r="AG2628" s="93"/>
      <c r="AH2628" s="93"/>
      <c r="AI2628" s="93"/>
      <c r="AJ2628" s="93"/>
    </row>
    <row r="2629" spans="30:36" ht="18">
      <c r="AD2629" s="93"/>
      <c r="AE2629" s="214"/>
      <c r="AF2629" s="93"/>
      <c r="AG2629" s="93"/>
      <c r="AH2629" s="93"/>
      <c r="AI2629" s="93"/>
      <c r="AJ2629" s="93"/>
    </row>
    <row r="2630" spans="30:36" ht="18">
      <c r="AD2630" s="93"/>
      <c r="AE2630" s="214"/>
      <c r="AF2630" s="93"/>
      <c r="AG2630" s="93"/>
      <c r="AH2630" s="93"/>
      <c r="AI2630" s="93"/>
      <c r="AJ2630" s="93"/>
    </row>
    <row r="2631" spans="30:36" ht="18">
      <c r="AD2631" s="93"/>
      <c r="AE2631" s="215"/>
      <c r="AF2631" s="93"/>
      <c r="AG2631" s="93"/>
      <c r="AH2631" s="93"/>
      <c r="AI2631" s="93"/>
      <c r="AJ2631" s="93"/>
    </row>
    <row r="2632" spans="30:36" ht="18">
      <c r="AD2632" s="93"/>
      <c r="AE2632" s="214"/>
      <c r="AF2632" s="93"/>
      <c r="AG2632" s="93"/>
      <c r="AH2632" s="93"/>
      <c r="AI2632" s="93"/>
      <c r="AJ2632" s="93"/>
    </row>
    <row r="2633" spans="30:36" ht="18">
      <c r="AD2633" s="93"/>
      <c r="AE2633" s="214"/>
      <c r="AF2633" s="93"/>
      <c r="AG2633" s="93"/>
      <c r="AH2633" s="93"/>
      <c r="AI2633" s="93"/>
      <c r="AJ2633" s="93"/>
    </row>
    <row r="2634" spans="30:36" ht="18">
      <c r="AD2634" s="93"/>
      <c r="AE2634" s="215"/>
      <c r="AF2634" s="93"/>
      <c r="AG2634" s="93"/>
      <c r="AH2634" s="93"/>
      <c r="AI2634" s="93"/>
      <c r="AJ2634" s="93"/>
    </row>
    <row r="2635" spans="30:36" ht="18">
      <c r="AD2635" s="93"/>
      <c r="AE2635" s="214"/>
      <c r="AF2635" s="93"/>
      <c r="AG2635" s="93"/>
      <c r="AH2635" s="93"/>
      <c r="AI2635" s="93"/>
      <c r="AJ2635" s="93"/>
    </row>
    <row r="2636" spans="30:36" ht="18">
      <c r="AD2636" s="93"/>
      <c r="AE2636" s="214"/>
      <c r="AF2636" s="93"/>
      <c r="AG2636" s="93"/>
      <c r="AH2636" s="93"/>
      <c r="AI2636" s="93"/>
      <c r="AJ2636" s="93"/>
    </row>
    <row r="2637" spans="30:36" ht="18">
      <c r="AD2637" s="93"/>
      <c r="AE2637" s="214"/>
      <c r="AF2637" s="93"/>
      <c r="AG2637" s="93"/>
      <c r="AH2637" s="93"/>
      <c r="AI2637" s="93"/>
      <c r="AJ2637" s="93"/>
    </row>
    <row r="2638" spans="30:36" ht="18">
      <c r="AD2638" s="93"/>
      <c r="AE2638" s="214"/>
      <c r="AF2638" s="93"/>
      <c r="AG2638" s="93"/>
      <c r="AH2638" s="93"/>
      <c r="AI2638" s="93"/>
      <c r="AJ2638" s="93"/>
    </row>
    <row r="2639" spans="30:36" ht="18">
      <c r="AD2639" s="93"/>
      <c r="AE2639" s="215"/>
      <c r="AF2639" s="93"/>
      <c r="AG2639" s="93"/>
      <c r="AH2639" s="93"/>
      <c r="AI2639" s="93"/>
      <c r="AJ2639" s="93"/>
    </row>
    <row r="2640" spans="30:36" ht="18">
      <c r="AD2640" s="93"/>
      <c r="AE2640" s="214"/>
      <c r="AF2640" s="93"/>
      <c r="AG2640" s="93"/>
      <c r="AH2640" s="93"/>
      <c r="AI2640" s="93"/>
      <c r="AJ2640" s="93"/>
    </row>
    <row r="2641" spans="30:36" ht="18">
      <c r="AD2641" s="93"/>
      <c r="AE2641" s="214"/>
      <c r="AF2641" s="93"/>
      <c r="AG2641" s="93"/>
      <c r="AH2641" s="93"/>
      <c r="AI2641" s="93"/>
      <c r="AJ2641" s="93"/>
    </row>
    <row r="2642" spans="30:36" ht="18">
      <c r="AD2642" s="93"/>
      <c r="AE2642" s="214"/>
      <c r="AF2642" s="93"/>
      <c r="AG2642" s="93"/>
      <c r="AH2642" s="93"/>
      <c r="AI2642" s="93"/>
      <c r="AJ2642" s="93"/>
    </row>
    <row r="2643" spans="30:36" ht="18">
      <c r="AD2643" s="93"/>
      <c r="AE2643" s="214"/>
      <c r="AF2643" s="93"/>
      <c r="AG2643" s="93"/>
      <c r="AH2643" s="93"/>
      <c r="AI2643" s="93"/>
      <c r="AJ2643" s="93"/>
    </row>
    <row r="2644" spans="30:36" ht="18">
      <c r="AD2644" s="93"/>
      <c r="AE2644" s="215"/>
      <c r="AF2644" s="93"/>
      <c r="AG2644" s="93"/>
      <c r="AH2644" s="93"/>
      <c r="AI2644" s="93"/>
      <c r="AJ2644" s="93"/>
    </row>
    <row r="2645" spans="30:36" ht="18">
      <c r="AD2645" s="93"/>
      <c r="AE2645" s="214"/>
      <c r="AF2645" s="93"/>
      <c r="AG2645" s="93"/>
      <c r="AH2645" s="93"/>
      <c r="AI2645" s="93"/>
      <c r="AJ2645" s="93"/>
    </row>
    <row r="2646" spans="30:36" ht="18">
      <c r="AD2646" s="93"/>
      <c r="AE2646" s="214"/>
      <c r="AF2646" s="93"/>
      <c r="AG2646" s="93"/>
      <c r="AH2646" s="93"/>
      <c r="AI2646" s="93"/>
      <c r="AJ2646" s="93"/>
    </row>
    <row r="2647" spans="30:36" ht="18">
      <c r="AD2647" s="93"/>
      <c r="AE2647" s="214"/>
      <c r="AF2647" s="93"/>
      <c r="AG2647" s="93"/>
      <c r="AH2647" s="93"/>
      <c r="AI2647" s="93"/>
      <c r="AJ2647" s="93"/>
    </row>
    <row r="2648" spans="30:36" ht="18">
      <c r="AD2648" s="93"/>
      <c r="AE2648" s="214"/>
      <c r="AF2648" s="93"/>
      <c r="AG2648" s="93"/>
      <c r="AH2648" s="93"/>
      <c r="AI2648" s="93"/>
      <c r="AJ2648" s="93"/>
    </row>
    <row r="2649" spans="30:36" ht="18">
      <c r="AD2649" s="93"/>
      <c r="AE2649" s="215"/>
      <c r="AF2649" s="93"/>
      <c r="AG2649" s="93"/>
      <c r="AH2649" s="93"/>
      <c r="AI2649" s="93"/>
      <c r="AJ2649" s="93"/>
    </row>
    <row r="2650" spans="30:36" ht="18">
      <c r="AD2650" s="93"/>
      <c r="AE2650" s="214"/>
      <c r="AF2650" s="93"/>
      <c r="AG2650" s="93"/>
      <c r="AH2650" s="93"/>
      <c r="AI2650" s="93"/>
      <c r="AJ2650" s="93"/>
    </row>
    <row r="2651" spans="30:36" ht="18">
      <c r="AD2651" s="93"/>
      <c r="AE2651" s="214"/>
      <c r="AF2651" s="93"/>
      <c r="AG2651" s="93"/>
      <c r="AH2651" s="93"/>
      <c r="AI2651" s="93"/>
      <c r="AJ2651" s="93"/>
    </row>
    <row r="2652" spans="30:36" ht="18">
      <c r="AD2652" s="93"/>
      <c r="AE2652" s="214"/>
      <c r="AF2652" s="93"/>
      <c r="AG2652" s="93"/>
      <c r="AH2652" s="93"/>
      <c r="AI2652" s="93"/>
      <c r="AJ2652" s="93"/>
    </row>
    <row r="2653" spans="30:36" ht="18">
      <c r="AD2653" s="93"/>
      <c r="AE2653" s="214"/>
      <c r="AF2653" s="93"/>
      <c r="AG2653" s="93"/>
      <c r="AH2653" s="93"/>
      <c r="AI2653" s="93"/>
      <c r="AJ2653" s="93"/>
    </row>
    <row r="2654" spans="30:36" ht="18">
      <c r="AD2654" s="93"/>
      <c r="AE2654" s="215"/>
      <c r="AF2654" s="93"/>
      <c r="AG2654" s="93"/>
      <c r="AH2654" s="93"/>
      <c r="AI2654" s="93"/>
      <c r="AJ2654" s="93"/>
    </row>
    <row r="2655" spans="30:36" ht="18">
      <c r="AD2655" s="93"/>
      <c r="AE2655" s="214"/>
      <c r="AF2655" s="93"/>
      <c r="AG2655" s="93"/>
      <c r="AH2655" s="93"/>
      <c r="AI2655" s="93"/>
      <c r="AJ2655" s="93"/>
    </row>
    <row r="2656" spans="30:36" ht="18">
      <c r="AD2656" s="93"/>
      <c r="AE2656" s="214"/>
      <c r="AF2656" s="93"/>
      <c r="AG2656" s="93"/>
      <c r="AH2656" s="93"/>
      <c r="AI2656" s="93"/>
      <c r="AJ2656" s="93"/>
    </row>
    <row r="2657" spans="30:36" ht="18">
      <c r="AD2657" s="93"/>
      <c r="AE2657" s="214"/>
      <c r="AF2657" s="93"/>
      <c r="AG2657" s="93"/>
      <c r="AH2657" s="93"/>
      <c r="AI2657" s="93"/>
      <c r="AJ2657" s="93"/>
    </row>
    <row r="2658" spans="30:36" ht="18">
      <c r="AD2658" s="93"/>
      <c r="AE2658" s="214"/>
      <c r="AF2658" s="93"/>
      <c r="AG2658" s="93"/>
      <c r="AH2658" s="93"/>
      <c r="AI2658" s="93"/>
      <c r="AJ2658" s="93"/>
    </row>
    <row r="2659" spans="30:36" ht="18">
      <c r="AD2659" s="93"/>
      <c r="AE2659" s="215"/>
      <c r="AF2659" s="93"/>
      <c r="AG2659" s="93"/>
      <c r="AH2659" s="93"/>
      <c r="AI2659" s="93"/>
      <c r="AJ2659" s="93"/>
    </row>
    <row r="2660" spans="30:36" ht="18">
      <c r="AD2660" s="93"/>
      <c r="AE2660" s="214"/>
      <c r="AF2660" s="93"/>
      <c r="AG2660" s="93"/>
      <c r="AH2660" s="93"/>
      <c r="AI2660" s="93"/>
      <c r="AJ2660" s="93"/>
    </row>
    <row r="2661" spans="30:36" ht="18">
      <c r="AD2661" s="93"/>
      <c r="AE2661" s="214"/>
      <c r="AF2661" s="93"/>
      <c r="AG2661" s="93"/>
      <c r="AH2661" s="93"/>
      <c r="AI2661" s="93"/>
      <c r="AJ2661" s="93"/>
    </row>
    <row r="2662" spans="30:36" ht="18">
      <c r="AD2662" s="93"/>
      <c r="AE2662" s="214"/>
      <c r="AF2662" s="93"/>
      <c r="AG2662" s="93"/>
      <c r="AH2662" s="93"/>
      <c r="AI2662" s="93"/>
      <c r="AJ2662" s="93"/>
    </row>
    <row r="2663" spans="30:36" ht="18">
      <c r="AD2663" s="93"/>
      <c r="AE2663" s="214"/>
      <c r="AF2663" s="93"/>
      <c r="AG2663" s="93"/>
      <c r="AH2663" s="93"/>
      <c r="AI2663" s="93"/>
      <c r="AJ2663" s="93"/>
    </row>
    <row r="2664" spans="30:36" ht="18">
      <c r="AD2664" s="93"/>
      <c r="AE2664" s="215"/>
      <c r="AF2664" s="93"/>
      <c r="AG2664" s="93"/>
      <c r="AH2664" s="93"/>
      <c r="AI2664" s="93"/>
      <c r="AJ2664" s="93"/>
    </row>
    <row r="2665" spans="30:36" ht="18">
      <c r="AD2665" s="93"/>
      <c r="AE2665" s="214"/>
      <c r="AF2665" s="93"/>
      <c r="AG2665" s="93"/>
      <c r="AH2665" s="93"/>
      <c r="AI2665" s="93"/>
      <c r="AJ2665" s="93"/>
    </row>
    <row r="2666" spans="30:36" ht="18">
      <c r="AD2666" s="93"/>
      <c r="AE2666" s="214"/>
      <c r="AF2666" s="93"/>
      <c r="AG2666" s="93"/>
      <c r="AH2666" s="93"/>
      <c r="AI2666" s="93"/>
      <c r="AJ2666" s="93"/>
    </row>
    <row r="2667" spans="30:36" ht="18">
      <c r="AD2667" s="93"/>
      <c r="AE2667" s="215"/>
      <c r="AF2667" s="93"/>
      <c r="AG2667" s="93"/>
      <c r="AH2667" s="93"/>
      <c r="AI2667" s="93"/>
      <c r="AJ2667" s="93"/>
    </row>
    <row r="2668" spans="30:36" ht="18">
      <c r="AD2668" s="93"/>
      <c r="AE2668" s="214"/>
      <c r="AF2668" s="93"/>
      <c r="AG2668" s="93"/>
      <c r="AH2668" s="93"/>
      <c r="AI2668" s="93"/>
      <c r="AJ2668" s="93"/>
    </row>
    <row r="2669" spans="30:36" ht="18">
      <c r="AD2669" s="93"/>
      <c r="AE2669" s="214"/>
      <c r="AF2669" s="93"/>
      <c r="AG2669" s="93"/>
      <c r="AH2669" s="93"/>
      <c r="AI2669" s="93"/>
      <c r="AJ2669" s="93"/>
    </row>
    <row r="2670" spans="30:36" ht="18">
      <c r="AD2670" s="93"/>
      <c r="AE2670" s="214"/>
      <c r="AF2670" s="93"/>
      <c r="AG2670" s="93"/>
      <c r="AH2670" s="93"/>
      <c r="AI2670" s="93"/>
      <c r="AJ2670" s="93"/>
    </row>
    <row r="2671" spans="30:36" ht="18">
      <c r="AD2671" s="93"/>
      <c r="AE2671" s="214"/>
      <c r="AF2671" s="93"/>
      <c r="AG2671" s="93"/>
      <c r="AH2671" s="93"/>
      <c r="AI2671" s="93"/>
      <c r="AJ2671" s="93"/>
    </row>
    <row r="2672" spans="30:36" ht="18">
      <c r="AD2672" s="93"/>
      <c r="AE2672" s="215"/>
      <c r="AF2672" s="93"/>
      <c r="AG2672" s="93"/>
      <c r="AH2672" s="93"/>
      <c r="AI2672" s="93"/>
      <c r="AJ2672" s="93"/>
    </row>
    <row r="2673" spans="30:36" ht="18">
      <c r="AD2673" s="93"/>
      <c r="AE2673" s="214"/>
      <c r="AF2673" s="93"/>
      <c r="AG2673" s="93"/>
      <c r="AH2673" s="93"/>
      <c r="AI2673" s="93"/>
      <c r="AJ2673" s="93"/>
    </row>
    <row r="2674" spans="30:36" ht="18">
      <c r="AD2674" s="93"/>
      <c r="AE2674" s="214"/>
      <c r="AF2674" s="93"/>
      <c r="AG2674" s="93"/>
      <c r="AH2674" s="93"/>
      <c r="AI2674" s="93"/>
      <c r="AJ2674" s="93"/>
    </row>
    <row r="2675" spans="30:36" ht="18">
      <c r="AD2675" s="93"/>
      <c r="AE2675" s="214"/>
      <c r="AF2675" s="93"/>
      <c r="AG2675" s="93"/>
      <c r="AH2675" s="93"/>
      <c r="AI2675" s="93"/>
      <c r="AJ2675" s="93"/>
    </row>
    <row r="2676" spans="30:36" ht="18">
      <c r="AD2676" s="93"/>
      <c r="AE2676" s="214"/>
      <c r="AF2676" s="93"/>
      <c r="AG2676" s="93"/>
      <c r="AH2676" s="93"/>
      <c r="AI2676" s="93"/>
      <c r="AJ2676" s="93"/>
    </row>
    <row r="2677" spans="30:36" ht="18">
      <c r="AD2677" s="93"/>
      <c r="AE2677" s="215"/>
      <c r="AF2677" s="93"/>
      <c r="AG2677" s="93"/>
      <c r="AH2677" s="93"/>
      <c r="AI2677" s="93"/>
      <c r="AJ2677" s="93"/>
    </row>
    <row r="2678" spans="30:36" ht="18">
      <c r="AD2678" s="93"/>
      <c r="AE2678" s="214"/>
      <c r="AF2678" s="93"/>
      <c r="AG2678" s="93"/>
      <c r="AH2678" s="93"/>
      <c r="AI2678" s="93"/>
      <c r="AJ2678" s="93"/>
    </row>
    <row r="2679" spans="30:36" ht="18">
      <c r="AD2679" s="93"/>
      <c r="AE2679" s="214"/>
      <c r="AF2679" s="93"/>
      <c r="AG2679" s="93"/>
      <c r="AH2679" s="93"/>
      <c r="AI2679" s="93"/>
      <c r="AJ2679" s="93"/>
    </row>
    <row r="2680" spans="30:36" ht="18">
      <c r="AD2680" s="93"/>
      <c r="AE2680" s="214"/>
      <c r="AF2680" s="93"/>
      <c r="AG2680" s="93"/>
      <c r="AH2680" s="93"/>
      <c r="AI2680" s="93"/>
      <c r="AJ2680" s="93"/>
    </row>
    <row r="2681" spans="30:36" ht="18">
      <c r="AD2681" s="93"/>
      <c r="AE2681" s="214"/>
      <c r="AF2681" s="93"/>
      <c r="AG2681" s="93"/>
      <c r="AH2681" s="93"/>
      <c r="AI2681" s="93"/>
      <c r="AJ2681" s="93"/>
    </row>
    <row r="2682" spans="30:36" ht="18">
      <c r="AD2682" s="93"/>
      <c r="AE2682" s="215"/>
      <c r="AF2682" s="93"/>
      <c r="AG2682" s="93"/>
      <c r="AH2682" s="93"/>
      <c r="AI2682" s="93"/>
      <c r="AJ2682" s="93"/>
    </row>
    <row r="2683" spans="30:36" ht="18">
      <c r="AD2683" s="93"/>
      <c r="AE2683" s="214"/>
      <c r="AF2683" s="93"/>
      <c r="AG2683" s="93"/>
      <c r="AH2683" s="93"/>
      <c r="AI2683" s="93"/>
      <c r="AJ2683" s="93"/>
    </row>
    <row r="2684" spans="30:36" ht="18">
      <c r="AD2684" s="93"/>
      <c r="AE2684" s="214"/>
      <c r="AF2684" s="93"/>
      <c r="AG2684" s="93"/>
      <c r="AH2684" s="93"/>
      <c r="AI2684" s="93"/>
      <c r="AJ2684" s="93"/>
    </row>
    <row r="2685" spans="30:36" ht="18">
      <c r="AD2685" s="93"/>
      <c r="AE2685" s="214"/>
      <c r="AF2685" s="93"/>
      <c r="AG2685" s="93"/>
      <c r="AH2685" s="93"/>
      <c r="AI2685" s="93"/>
      <c r="AJ2685" s="93"/>
    </row>
    <row r="2686" spans="30:36" ht="18">
      <c r="AD2686" s="93"/>
      <c r="AE2686" s="214"/>
      <c r="AF2686" s="93"/>
      <c r="AG2686" s="93"/>
      <c r="AH2686" s="93"/>
      <c r="AI2686" s="93"/>
      <c r="AJ2686" s="93"/>
    </row>
    <row r="2687" spans="30:36" ht="18">
      <c r="AD2687" s="93"/>
      <c r="AE2687" s="215"/>
      <c r="AF2687" s="93"/>
      <c r="AG2687" s="93"/>
      <c r="AH2687" s="93"/>
      <c r="AI2687" s="93"/>
      <c r="AJ2687" s="93"/>
    </row>
    <row r="2688" spans="30:36" ht="18">
      <c r="AD2688" s="93"/>
      <c r="AE2688" s="214"/>
      <c r="AF2688" s="93"/>
      <c r="AG2688" s="93"/>
      <c r="AH2688" s="93"/>
      <c r="AI2688" s="93"/>
      <c r="AJ2688" s="93"/>
    </row>
    <row r="2689" spans="30:36" ht="18">
      <c r="AD2689" s="93"/>
      <c r="AE2689" s="214"/>
      <c r="AF2689" s="93"/>
      <c r="AG2689" s="93"/>
      <c r="AH2689" s="93"/>
      <c r="AI2689" s="93"/>
      <c r="AJ2689" s="93"/>
    </row>
    <row r="2690" spans="30:36" ht="18">
      <c r="AD2690" s="93"/>
      <c r="AE2690" s="214"/>
      <c r="AF2690" s="93"/>
      <c r="AG2690" s="93"/>
      <c r="AH2690" s="93"/>
      <c r="AI2690" s="93"/>
      <c r="AJ2690" s="93"/>
    </row>
    <row r="2691" spans="30:36" ht="18">
      <c r="AD2691" s="93"/>
      <c r="AE2691" s="214"/>
      <c r="AF2691" s="93"/>
      <c r="AG2691" s="93"/>
      <c r="AH2691" s="93"/>
      <c r="AI2691" s="93"/>
      <c r="AJ2691" s="93"/>
    </row>
    <row r="2692" spans="30:36" ht="18">
      <c r="AD2692" s="93"/>
      <c r="AE2692" s="215"/>
      <c r="AF2692" s="93"/>
      <c r="AG2692" s="93"/>
      <c r="AH2692" s="93"/>
      <c r="AI2692" s="93"/>
      <c r="AJ2692" s="93"/>
    </row>
    <row r="2693" spans="30:36" ht="18">
      <c r="AD2693" s="93"/>
      <c r="AE2693" s="214"/>
      <c r="AF2693" s="93"/>
      <c r="AG2693" s="93"/>
      <c r="AH2693" s="93"/>
      <c r="AI2693" s="93"/>
      <c r="AJ2693" s="93"/>
    </row>
    <row r="2694" spans="30:36" ht="18">
      <c r="AD2694" s="93"/>
      <c r="AE2694" s="214"/>
      <c r="AF2694" s="93"/>
      <c r="AG2694" s="93"/>
      <c r="AH2694" s="93"/>
      <c r="AI2694" s="93"/>
      <c r="AJ2694" s="93"/>
    </row>
    <row r="2695" spans="30:36" ht="18">
      <c r="AD2695" s="93"/>
      <c r="AE2695" s="214"/>
      <c r="AF2695" s="93"/>
      <c r="AG2695" s="93"/>
      <c r="AH2695" s="93"/>
      <c r="AI2695" s="93"/>
      <c r="AJ2695" s="93"/>
    </row>
    <row r="2696" spans="30:36" ht="18">
      <c r="AD2696" s="93"/>
      <c r="AE2696" s="214"/>
      <c r="AF2696" s="93"/>
      <c r="AG2696" s="93"/>
      <c r="AH2696" s="93"/>
      <c r="AI2696" s="93"/>
      <c r="AJ2696" s="93"/>
    </row>
    <row r="2697" spans="30:36" ht="18">
      <c r="AD2697" s="93"/>
      <c r="AE2697" s="215"/>
      <c r="AF2697" s="93"/>
      <c r="AG2697" s="93"/>
      <c r="AH2697" s="93"/>
      <c r="AI2697" s="93"/>
      <c r="AJ2697" s="93"/>
    </row>
    <row r="2698" spans="30:36" ht="18">
      <c r="AD2698" s="93"/>
      <c r="AE2698" s="214"/>
      <c r="AF2698" s="93"/>
      <c r="AG2698" s="93"/>
      <c r="AH2698" s="93"/>
      <c r="AI2698" s="93"/>
      <c r="AJ2698" s="93"/>
    </row>
    <row r="2699" spans="30:36" ht="18">
      <c r="AD2699" s="93"/>
      <c r="AE2699" s="214"/>
      <c r="AF2699" s="93"/>
      <c r="AG2699" s="93"/>
      <c r="AH2699" s="93"/>
      <c r="AI2699" s="93"/>
      <c r="AJ2699" s="93"/>
    </row>
    <row r="2700" spans="30:36" ht="18">
      <c r="AD2700" s="93"/>
      <c r="AE2700" s="214"/>
      <c r="AF2700" s="93"/>
      <c r="AG2700" s="93"/>
      <c r="AH2700" s="93"/>
      <c r="AI2700" s="93"/>
      <c r="AJ2700" s="93"/>
    </row>
    <row r="2701" spans="30:36" ht="18">
      <c r="AD2701" s="93"/>
      <c r="AE2701" s="214"/>
      <c r="AF2701" s="93"/>
      <c r="AG2701" s="93"/>
      <c r="AH2701" s="93"/>
      <c r="AI2701" s="93"/>
      <c r="AJ2701" s="93"/>
    </row>
    <row r="2702" spans="30:36" ht="18">
      <c r="AD2702" s="93"/>
      <c r="AE2702" s="215"/>
      <c r="AF2702" s="93"/>
      <c r="AG2702" s="93"/>
      <c r="AH2702" s="93"/>
      <c r="AI2702" s="93"/>
      <c r="AJ2702" s="93"/>
    </row>
    <row r="2703" spans="30:36" ht="18">
      <c r="AD2703" s="93"/>
      <c r="AE2703" s="214"/>
      <c r="AF2703" s="93"/>
      <c r="AG2703" s="93"/>
      <c r="AH2703" s="93"/>
      <c r="AI2703" s="93"/>
      <c r="AJ2703" s="93"/>
    </row>
    <row r="2704" spans="30:36" ht="18">
      <c r="AD2704" s="93"/>
      <c r="AE2704" s="214"/>
      <c r="AF2704" s="93"/>
      <c r="AG2704" s="93"/>
      <c r="AH2704" s="93"/>
      <c r="AI2704" s="93"/>
      <c r="AJ2704" s="93"/>
    </row>
    <row r="2705" spans="30:36" ht="18">
      <c r="AD2705" s="93"/>
      <c r="AE2705" s="215"/>
      <c r="AF2705" s="93"/>
      <c r="AG2705" s="93"/>
      <c r="AH2705" s="93"/>
      <c r="AI2705" s="93"/>
      <c r="AJ2705" s="93"/>
    </row>
    <row r="2706" spans="30:36" ht="18">
      <c r="AD2706" s="93"/>
      <c r="AE2706" s="214"/>
      <c r="AF2706" s="93"/>
      <c r="AG2706" s="93"/>
      <c r="AH2706" s="93"/>
      <c r="AI2706" s="93"/>
      <c r="AJ2706" s="93"/>
    </row>
    <row r="2707" spans="30:36" ht="18">
      <c r="AD2707" s="93"/>
      <c r="AE2707" s="214"/>
      <c r="AF2707" s="93"/>
      <c r="AG2707" s="93"/>
      <c r="AH2707" s="93"/>
      <c r="AI2707" s="93"/>
      <c r="AJ2707" s="93"/>
    </row>
    <row r="2708" spans="30:36" ht="18">
      <c r="AD2708" s="93"/>
      <c r="AE2708" s="214"/>
      <c r="AF2708" s="93"/>
      <c r="AG2708" s="93"/>
      <c r="AH2708" s="93"/>
      <c r="AI2708" s="93"/>
      <c r="AJ2708" s="93"/>
    </row>
    <row r="2709" spans="30:36" ht="18">
      <c r="AD2709" s="93"/>
      <c r="AE2709" s="214"/>
      <c r="AF2709" s="93"/>
      <c r="AG2709" s="93"/>
      <c r="AH2709" s="93"/>
      <c r="AI2709" s="93"/>
      <c r="AJ2709" s="93"/>
    </row>
    <row r="2710" spans="30:36" ht="18">
      <c r="AD2710" s="93"/>
      <c r="AE2710" s="214"/>
      <c r="AF2710" s="93"/>
      <c r="AG2710" s="93"/>
      <c r="AH2710" s="93"/>
      <c r="AI2710" s="93"/>
      <c r="AJ2710" s="93"/>
    </row>
    <row r="2711" spans="30:36" ht="18">
      <c r="AD2711" s="93"/>
      <c r="AE2711" s="214"/>
      <c r="AF2711" s="93"/>
      <c r="AG2711" s="93"/>
      <c r="AH2711" s="93"/>
      <c r="AI2711" s="93"/>
      <c r="AJ2711" s="93"/>
    </row>
    <row r="2712" spans="30:36" ht="18">
      <c r="AD2712" s="93"/>
      <c r="AE2712" s="214"/>
      <c r="AF2712" s="93"/>
      <c r="AG2712" s="93"/>
      <c r="AH2712" s="93"/>
      <c r="AI2712" s="93"/>
      <c r="AJ2712" s="93"/>
    </row>
    <row r="2713" spans="30:36" ht="18">
      <c r="AD2713" s="93"/>
      <c r="AE2713" s="214"/>
      <c r="AF2713" s="93"/>
      <c r="AG2713" s="93"/>
      <c r="AH2713" s="93"/>
      <c r="AI2713" s="93"/>
      <c r="AJ2713" s="93"/>
    </row>
    <row r="2714" spans="30:36" ht="18">
      <c r="AD2714" s="93"/>
      <c r="AE2714" s="214"/>
      <c r="AF2714" s="93"/>
      <c r="AG2714" s="93"/>
      <c r="AH2714" s="93"/>
      <c r="AI2714" s="93"/>
      <c r="AJ2714" s="93"/>
    </row>
    <row r="2715" spans="30:36" ht="18">
      <c r="AD2715" s="93"/>
      <c r="AE2715" s="214"/>
      <c r="AF2715" s="93"/>
      <c r="AG2715" s="93"/>
      <c r="AH2715" s="93"/>
      <c r="AI2715" s="93"/>
      <c r="AJ2715" s="93"/>
    </row>
    <row r="2716" spans="30:36" ht="18">
      <c r="AD2716" s="93"/>
      <c r="AE2716" s="214"/>
      <c r="AF2716" s="93"/>
      <c r="AG2716" s="93"/>
      <c r="AH2716" s="93"/>
      <c r="AI2716" s="93"/>
      <c r="AJ2716" s="93"/>
    </row>
    <row r="2717" spans="30:36" ht="18">
      <c r="AD2717" s="93"/>
      <c r="AE2717" s="214"/>
      <c r="AF2717" s="93"/>
      <c r="AG2717" s="93"/>
      <c r="AH2717" s="93"/>
      <c r="AI2717" s="93"/>
      <c r="AJ2717" s="93"/>
    </row>
    <row r="2718" spans="30:36" ht="18">
      <c r="AD2718" s="93"/>
      <c r="AE2718" s="214"/>
      <c r="AF2718" s="93"/>
      <c r="AG2718" s="93"/>
      <c r="AH2718" s="93"/>
      <c r="AI2718" s="93"/>
      <c r="AJ2718" s="93"/>
    </row>
    <row r="2719" spans="30:36" ht="18">
      <c r="AD2719" s="93"/>
      <c r="AE2719" s="214"/>
      <c r="AF2719" s="93"/>
      <c r="AG2719" s="93"/>
      <c r="AH2719" s="93"/>
      <c r="AI2719" s="93"/>
      <c r="AJ2719" s="93"/>
    </row>
    <row r="2720" spans="30:36" ht="18">
      <c r="AD2720" s="93"/>
      <c r="AE2720" s="215"/>
      <c r="AF2720" s="93"/>
      <c r="AG2720" s="93"/>
      <c r="AH2720" s="93"/>
      <c r="AI2720" s="93"/>
      <c r="AJ2720" s="93"/>
    </row>
    <row r="2721" spans="30:36" ht="18">
      <c r="AD2721" s="93"/>
      <c r="AE2721" s="214"/>
      <c r="AF2721" s="93"/>
      <c r="AG2721" s="93"/>
      <c r="AH2721" s="93"/>
      <c r="AI2721" s="93"/>
      <c r="AJ2721" s="93"/>
    </row>
    <row r="2722" spans="30:36" ht="18">
      <c r="AD2722" s="93"/>
      <c r="AE2722" s="214"/>
      <c r="AF2722" s="93"/>
      <c r="AG2722" s="93"/>
      <c r="AH2722" s="93"/>
      <c r="AI2722" s="93"/>
      <c r="AJ2722" s="93"/>
    </row>
    <row r="2723" spans="30:36" ht="18">
      <c r="AD2723" s="93"/>
      <c r="AE2723" s="214"/>
      <c r="AF2723" s="93"/>
      <c r="AG2723" s="93"/>
      <c r="AH2723" s="93"/>
      <c r="AI2723" s="93"/>
      <c r="AJ2723" s="93"/>
    </row>
    <row r="2724" spans="30:36" ht="18">
      <c r="AD2724" s="93"/>
      <c r="AE2724" s="214"/>
      <c r="AF2724" s="93"/>
      <c r="AG2724" s="93"/>
      <c r="AH2724" s="93"/>
      <c r="AI2724" s="93"/>
      <c r="AJ2724" s="93"/>
    </row>
    <row r="2725" spans="30:36" ht="18">
      <c r="AD2725" s="93"/>
      <c r="AE2725" s="214"/>
      <c r="AF2725" s="93"/>
      <c r="AG2725" s="93"/>
      <c r="AH2725" s="93"/>
      <c r="AI2725" s="93"/>
      <c r="AJ2725" s="93"/>
    </row>
    <row r="2726" spans="30:36" ht="18">
      <c r="AD2726" s="93"/>
      <c r="AE2726" s="214"/>
      <c r="AF2726" s="93"/>
      <c r="AG2726" s="93"/>
      <c r="AH2726" s="93"/>
      <c r="AI2726" s="93"/>
      <c r="AJ2726" s="93"/>
    </row>
    <row r="2727" spans="30:36" ht="18">
      <c r="AD2727" s="93"/>
      <c r="AE2727" s="214"/>
      <c r="AF2727" s="93"/>
      <c r="AG2727" s="93"/>
      <c r="AH2727" s="93"/>
      <c r="AI2727" s="93"/>
      <c r="AJ2727" s="93"/>
    </row>
    <row r="2728" spans="30:36" ht="18">
      <c r="AD2728" s="93"/>
      <c r="AE2728" s="214"/>
      <c r="AF2728" s="93"/>
      <c r="AG2728" s="93"/>
      <c r="AH2728" s="93"/>
      <c r="AI2728" s="93"/>
      <c r="AJ2728" s="93"/>
    </row>
    <row r="2729" spans="30:36" ht="18">
      <c r="AD2729" s="93"/>
      <c r="AE2729" s="214"/>
      <c r="AF2729" s="93"/>
      <c r="AG2729" s="93"/>
      <c r="AH2729" s="93"/>
      <c r="AI2729" s="93"/>
      <c r="AJ2729" s="93"/>
    </row>
    <row r="2730" spans="30:36" ht="18">
      <c r="AD2730" s="93"/>
      <c r="AE2730" s="214"/>
      <c r="AF2730" s="93"/>
      <c r="AG2730" s="93"/>
      <c r="AH2730" s="93"/>
      <c r="AI2730" s="93"/>
      <c r="AJ2730" s="93"/>
    </row>
    <row r="2731" spans="30:36" ht="18">
      <c r="AD2731" s="93"/>
      <c r="AE2731" s="214"/>
      <c r="AF2731" s="93"/>
      <c r="AG2731" s="93"/>
      <c r="AH2731" s="93"/>
      <c r="AI2731" s="93"/>
      <c r="AJ2731" s="93"/>
    </row>
    <row r="2732" spans="30:36" ht="18">
      <c r="AD2732" s="93"/>
      <c r="AE2732" s="214"/>
      <c r="AF2732" s="93"/>
      <c r="AG2732" s="93"/>
      <c r="AH2732" s="93"/>
      <c r="AI2732" s="93"/>
      <c r="AJ2732" s="93"/>
    </row>
    <row r="2733" spans="30:36" ht="18">
      <c r="AD2733" s="93"/>
      <c r="AE2733" s="214"/>
      <c r="AF2733" s="93"/>
      <c r="AG2733" s="93"/>
      <c r="AH2733" s="93"/>
      <c r="AI2733" s="93"/>
      <c r="AJ2733" s="93"/>
    </row>
    <row r="2734" spans="30:36" ht="18">
      <c r="AD2734" s="93"/>
      <c r="AE2734" s="214"/>
      <c r="AF2734" s="93"/>
      <c r="AG2734" s="93"/>
      <c r="AH2734" s="93"/>
      <c r="AI2734" s="93"/>
      <c r="AJ2734" s="93"/>
    </row>
    <row r="2735" spans="30:36" ht="18">
      <c r="AD2735" s="93"/>
      <c r="AE2735" s="215"/>
      <c r="AF2735" s="93"/>
      <c r="AG2735" s="93"/>
      <c r="AH2735" s="93"/>
      <c r="AI2735" s="93"/>
      <c r="AJ2735" s="93"/>
    </row>
    <row r="2736" spans="30:36" ht="18">
      <c r="AD2736" s="93"/>
      <c r="AE2736" s="214"/>
      <c r="AF2736" s="93"/>
      <c r="AG2736" s="93"/>
      <c r="AH2736" s="93"/>
      <c r="AI2736" s="93"/>
      <c r="AJ2736" s="93"/>
    </row>
    <row r="2737" spans="30:36" ht="18">
      <c r="AD2737" s="93"/>
      <c r="AE2737" s="214"/>
      <c r="AF2737" s="93"/>
      <c r="AG2737" s="93"/>
      <c r="AH2737" s="93"/>
      <c r="AI2737" s="93"/>
      <c r="AJ2737" s="93"/>
    </row>
    <row r="2738" spans="30:36" ht="18">
      <c r="AD2738" s="93"/>
      <c r="AE2738" s="214"/>
      <c r="AF2738" s="93"/>
      <c r="AG2738" s="93"/>
      <c r="AH2738" s="93"/>
      <c r="AI2738" s="93"/>
      <c r="AJ2738" s="93"/>
    </row>
    <row r="2739" spans="30:36" ht="18">
      <c r="AD2739" s="93"/>
      <c r="AE2739" s="214"/>
      <c r="AF2739" s="93"/>
      <c r="AG2739" s="93"/>
      <c r="AH2739" s="93"/>
      <c r="AI2739" s="93"/>
      <c r="AJ2739" s="93"/>
    </row>
    <row r="2740" spans="30:36" ht="18">
      <c r="AD2740" s="93"/>
      <c r="AE2740" s="214"/>
      <c r="AF2740" s="93"/>
      <c r="AG2740" s="93"/>
      <c r="AH2740" s="93"/>
      <c r="AI2740" s="93"/>
      <c r="AJ2740" s="93"/>
    </row>
    <row r="2741" spans="30:36" ht="18">
      <c r="AD2741" s="93"/>
      <c r="AE2741" s="214"/>
      <c r="AF2741" s="93"/>
      <c r="AG2741" s="93"/>
      <c r="AH2741" s="93"/>
      <c r="AI2741" s="93"/>
      <c r="AJ2741" s="93"/>
    </row>
    <row r="2742" spans="30:36" ht="18">
      <c r="AD2742" s="93"/>
      <c r="AE2742" s="214"/>
      <c r="AF2742" s="93"/>
      <c r="AG2742" s="93"/>
      <c r="AH2742" s="93"/>
      <c r="AI2742" s="93"/>
      <c r="AJ2742" s="93"/>
    </row>
    <row r="2743" spans="30:36" ht="18">
      <c r="AD2743" s="93"/>
      <c r="AE2743" s="214"/>
      <c r="AF2743" s="93"/>
      <c r="AG2743" s="93"/>
      <c r="AH2743" s="93"/>
      <c r="AI2743" s="93"/>
      <c r="AJ2743" s="93"/>
    </row>
    <row r="2744" spans="30:36" ht="18">
      <c r="AD2744" s="93"/>
      <c r="AE2744" s="214"/>
      <c r="AF2744" s="93"/>
      <c r="AG2744" s="93"/>
      <c r="AH2744" s="93"/>
      <c r="AI2744" s="93"/>
      <c r="AJ2744" s="93"/>
    </row>
    <row r="2745" spans="30:36" ht="18">
      <c r="AD2745" s="93"/>
      <c r="AE2745" s="214"/>
      <c r="AF2745" s="93"/>
      <c r="AG2745" s="93"/>
      <c r="AH2745" s="93"/>
      <c r="AI2745" s="93"/>
      <c r="AJ2745" s="93"/>
    </row>
    <row r="2746" spans="30:36" ht="18">
      <c r="AD2746" s="93"/>
      <c r="AE2746" s="214"/>
      <c r="AF2746" s="93"/>
      <c r="AG2746" s="93"/>
      <c r="AH2746" s="93"/>
      <c r="AI2746" s="93"/>
      <c r="AJ2746" s="93"/>
    </row>
    <row r="2747" spans="30:36" ht="18">
      <c r="AD2747" s="93"/>
      <c r="AE2747" s="214"/>
      <c r="AF2747" s="93"/>
      <c r="AG2747" s="93"/>
      <c r="AH2747" s="93"/>
      <c r="AI2747" s="93"/>
      <c r="AJ2747" s="93"/>
    </row>
    <row r="2748" spans="30:36" ht="18">
      <c r="AD2748" s="93"/>
      <c r="AE2748" s="214"/>
      <c r="AF2748" s="93"/>
      <c r="AG2748" s="93"/>
      <c r="AH2748" s="93"/>
      <c r="AI2748" s="93"/>
      <c r="AJ2748" s="93"/>
    </row>
    <row r="2749" spans="30:36" ht="18">
      <c r="AD2749" s="93"/>
      <c r="AE2749" s="214"/>
      <c r="AF2749" s="93"/>
      <c r="AG2749" s="93"/>
      <c r="AH2749" s="93"/>
      <c r="AI2749" s="93"/>
      <c r="AJ2749" s="93"/>
    </row>
    <row r="2750" spans="30:36" ht="18">
      <c r="AD2750" s="93"/>
      <c r="AE2750" s="214"/>
      <c r="AF2750" s="93"/>
      <c r="AG2750" s="93"/>
      <c r="AH2750" s="93"/>
      <c r="AI2750" s="93"/>
      <c r="AJ2750" s="93"/>
    </row>
    <row r="2751" spans="30:36" ht="18">
      <c r="AD2751" s="93"/>
      <c r="AE2751" s="214"/>
      <c r="AF2751" s="93"/>
      <c r="AG2751" s="93"/>
      <c r="AH2751" s="93"/>
      <c r="AI2751" s="93"/>
      <c r="AJ2751" s="93"/>
    </row>
    <row r="2752" spans="30:36" ht="18">
      <c r="AD2752" s="93"/>
      <c r="AE2752" s="214"/>
      <c r="AF2752" s="93"/>
      <c r="AG2752" s="93"/>
      <c r="AH2752" s="93"/>
      <c r="AI2752" s="93"/>
      <c r="AJ2752" s="93"/>
    </row>
    <row r="2753" spans="30:36" ht="18">
      <c r="AD2753" s="93"/>
      <c r="AE2753" s="214"/>
      <c r="AF2753" s="93"/>
      <c r="AG2753" s="93"/>
      <c r="AH2753" s="93"/>
      <c r="AI2753" s="93"/>
      <c r="AJ2753" s="93"/>
    </row>
    <row r="2754" spans="30:36" ht="18">
      <c r="AD2754" s="93"/>
      <c r="AE2754" s="214"/>
      <c r="AF2754" s="93"/>
      <c r="AG2754" s="93"/>
      <c r="AH2754" s="93"/>
      <c r="AI2754" s="93"/>
      <c r="AJ2754" s="93"/>
    </row>
    <row r="2755" spans="30:36" ht="18">
      <c r="AD2755" s="93"/>
      <c r="AE2755" s="214"/>
      <c r="AF2755" s="93"/>
      <c r="AG2755" s="93"/>
      <c r="AH2755" s="93"/>
      <c r="AI2755" s="93"/>
      <c r="AJ2755" s="93"/>
    </row>
    <row r="2756" spans="30:36" ht="18">
      <c r="AD2756" s="93"/>
      <c r="AE2756" s="214"/>
      <c r="AF2756" s="93"/>
      <c r="AG2756" s="93"/>
      <c r="AH2756" s="93"/>
      <c r="AI2756" s="93"/>
      <c r="AJ2756" s="93"/>
    </row>
    <row r="2757" spans="30:36" ht="18">
      <c r="AD2757" s="93"/>
      <c r="AE2757" s="214"/>
      <c r="AF2757" s="93"/>
      <c r="AG2757" s="93"/>
      <c r="AH2757" s="93"/>
      <c r="AI2757" s="93"/>
      <c r="AJ2757" s="93"/>
    </row>
    <row r="2758" spans="30:36" ht="18">
      <c r="AD2758" s="93"/>
      <c r="AE2758" s="214"/>
      <c r="AF2758" s="93"/>
      <c r="AG2758" s="93"/>
      <c r="AH2758" s="93"/>
      <c r="AI2758" s="93"/>
      <c r="AJ2758" s="93"/>
    </row>
    <row r="2759" spans="30:36" ht="18">
      <c r="AD2759" s="93"/>
      <c r="AE2759" s="214"/>
      <c r="AF2759" s="93"/>
      <c r="AG2759" s="93"/>
      <c r="AH2759" s="93"/>
      <c r="AI2759" s="93"/>
      <c r="AJ2759" s="93"/>
    </row>
    <row r="2760" spans="30:36" ht="18">
      <c r="AD2760" s="93"/>
      <c r="AE2760" s="214"/>
      <c r="AF2760" s="93"/>
      <c r="AG2760" s="93"/>
      <c r="AH2760" s="93"/>
      <c r="AI2760" s="93"/>
      <c r="AJ2760" s="93"/>
    </row>
    <row r="2761" spans="30:36" ht="18">
      <c r="AD2761" s="93"/>
      <c r="AE2761" s="214"/>
      <c r="AF2761" s="93"/>
      <c r="AG2761" s="93"/>
      <c r="AH2761" s="93"/>
      <c r="AI2761" s="93"/>
      <c r="AJ2761" s="93"/>
    </row>
    <row r="2762" spans="30:36" ht="18">
      <c r="AD2762" s="93"/>
      <c r="AE2762" s="214"/>
      <c r="AF2762" s="93"/>
      <c r="AG2762" s="93"/>
      <c r="AH2762" s="93"/>
      <c r="AI2762" s="93"/>
      <c r="AJ2762" s="93"/>
    </row>
    <row r="2763" spans="30:36" ht="18">
      <c r="AD2763" s="93"/>
      <c r="AE2763" s="214"/>
      <c r="AF2763" s="93"/>
      <c r="AG2763" s="93"/>
      <c r="AH2763" s="93"/>
      <c r="AI2763" s="93"/>
      <c r="AJ2763" s="93"/>
    </row>
    <row r="2764" spans="30:36" ht="18">
      <c r="AD2764" s="93"/>
      <c r="AE2764" s="214"/>
      <c r="AF2764" s="93"/>
      <c r="AG2764" s="93"/>
      <c r="AH2764" s="93"/>
      <c r="AI2764" s="93"/>
      <c r="AJ2764" s="93"/>
    </row>
    <row r="2765" spans="30:36" ht="18">
      <c r="AD2765" s="93"/>
      <c r="AE2765" s="214"/>
      <c r="AF2765" s="93"/>
      <c r="AG2765" s="93"/>
      <c r="AH2765" s="93"/>
      <c r="AI2765" s="93"/>
      <c r="AJ2765" s="93"/>
    </row>
    <row r="2766" spans="30:36" ht="18">
      <c r="AD2766" s="93"/>
      <c r="AE2766" s="214"/>
      <c r="AF2766" s="93"/>
      <c r="AG2766" s="93"/>
      <c r="AH2766" s="93"/>
      <c r="AI2766" s="93"/>
      <c r="AJ2766" s="93"/>
    </row>
    <row r="2767" spans="30:36" ht="18">
      <c r="AD2767" s="93"/>
      <c r="AE2767" s="214"/>
      <c r="AF2767" s="93"/>
      <c r="AG2767" s="93"/>
      <c r="AH2767" s="93"/>
      <c r="AI2767" s="93"/>
      <c r="AJ2767" s="93"/>
    </row>
    <row r="2768" spans="30:36" ht="18">
      <c r="AD2768" s="93"/>
      <c r="AE2768" s="214"/>
      <c r="AF2768" s="93"/>
      <c r="AG2768" s="93"/>
      <c r="AH2768" s="93"/>
      <c r="AI2768" s="93"/>
      <c r="AJ2768" s="93"/>
    </row>
    <row r="2769" spans="30:36" ht="18">
      <c r="AD2769" s="93"/>
      <c r="AE2769" s="214"/>
      <c r="AF2769" s="93"/>
      <c r="AG2769" s="93"/>
      <c r="AH2769" s="93"/>
      <c r="AI2769" s="93"/>
      <c r="AJ2769" s="93"/>
    </row>
    <row r="2770" spans="30:36" ht="18">
      <c r="AD2770" s="93"/>
      <c r="AE2770" s="214"/>
      <c r="AF2770" s="93"/>
      <c r="AG2770" s="93"/>
      <c r="AH2770" s="93"/>
      <c r="AI2770" s="93"/>
      <c r="AJ2770" s="93"/>
    </row>
    <row r="2771" spans="30:36" ht="18">
      <c r="AD2771" s="93"/>
      <c r="AE2771" s="214"/>
      <c r="AF2771" s="93"/>
      <c r="AG2771" s="93"/>
      <c r="AH2771" s="93"/>
      <c r="AI2771" s="93"/>
      <c r="AJ2771" s="93"/>
    </row>
    <row r="2772" spans="30:36" ht="18">
      <c r="AD2772" s="93"/>
      <c r="AE2772" s="214"/>
      <c r="AF2772" s="93"/>
      <c r="AG2772" s="93"/>
      <c r="AH2772" s="93"/>
      <c r="AI2772" s="93"/>
      <c r="AJ2772" s="93"/>
    </row>
    <row r="2773" spans="30:36" ht="18">
      <c r="AD2773" s="93"/>
      <c r="AE2773" s="214"/>
      <c r="AF2773" s="93"/>
      <c r="AG2773" s="93"/>
      <c r="AH2773" s="93"/>
      <c r="AI2773" s="93"/>
      <c r="AJ2773" s="93"/>
    </row>
    <row r="2774" spans="30:36" ht="18">
      <c r="AD2774" s="93"/>
      <c r="AE2774" s="214"/>
      <c r="AF2774" s="93"/>
      <c r="AG2774" s="93"/>
      <c r="AH2774" s="93"/>
      <c r="AI2774" s="93"/>
      <c r="AJ2774" s="93"/>
    </row>
    <row r="2775" spans="30:36" ht="18">
      <c r="AD2775" s="93"/>
      <c r="AE2775" s="214"/>
      <c r="AF2775" s="93"/>
      <c r="AG2775" s="93"/>
      <c r="AH2775" s="93"/>
      <c r="AI2775" s="93"/>
      <c r="AJ2775" s="93"/>
    </row>
    <row r="2776" spans="30:36" ht="18">
      <c r="AD2776" s="93"/>
      <c r="AE2776" s="214"/>
      <c r="AF2776" s="93"/>
      <c r="AG2776" s="93"/>
      <c r="AH2776" s="93"/>
      <c r="AI2776" s="93"/>
      <c r="AJ2776" s="93"/>
    </row>
    <row r="2777" spans="30:36" ht="18">
      <c r="AD2777" s="93"/>
      <c r="AE2777" s="214"/>
      <c r="AF2777" s="93"/>
      <c r="AG2777" s="93"/>
      <c r="AH2777" s="93"/>
      <c r="AI2777" s="93"/>
      <c r="AJ2777" s="93"/>
    </row>
    <row r="2778" spans="30:36" ht="18">
      <c r="AD2778" s="93"/>
      <c r="AE2778" s="214"/>
      <c r="AF2778" s="93"/>
      <c r="AG2778" s="93"/>
      <c r="AH2778" s="93"/>
      <c r="AI2778" s="93"/>
      <c r="AJ2778" s="93"/>
    </row>
    <row r="2779" spans="30:36" ht="18">
      <c r="AD2779" s="93"/>
      <c r="AE2779" s="214"/>
      <c r="AF2779" s="93"/>
      <c r="AG2779" s="93"/>
      <c r="AH2779" s="93"/>
      <c r="AI2779" s="93"/>
      <c r="AJ2779" s="93"/>
    </row>
    <row r="2780" spans="30:36" ht="18">
      <c r="AD2780" s="93"/>
      <c r="AE2780" s="214"/>
      <c r="AF2780" s="93"/>
      <c r="AG2780" s="93"/>
      <c r="AH2780" s="93"/>
      <c r="AI2780" s="93"/>
      <c r="AJ2780" s="93"/>
    </row>
    <row r="2781" spans="30:36" ht="18">
      <c r="AD2781" s="93"/>
      <c r="AE2781" s="215"/>
      <c r="AF2781" s="93"/>
      <c r="AG2781" s="93"/>
      <c r="AH2781" s="93"/>
      <c r="AI2781" s="93"/>
      <c r="AJ2781" s="93"/>
    </row>
    <row r="2782" spans="30:36" ht="18">
      <c r="AD2782" s="93"/>
      <c r="AE2782" s="215"/>
      <c r="AF2782" s="93"/>
      <c r="AG2782" s="93"/>
      <c r="AH2782" s="93"/>
      <c r="AI2782" s="93"/>
      <c r="AJ2782" s="93"/>
    </row>
    <row r="2783" spans="30:36" ht="18">
      <c r="AD2783" s="93"/>
      <c r="AE2783" s="214"/>
      <c r="AF2783" s="93"/>
      <c r="AG2783" s="93"/>
      <c r="AH2783" s="93"/>
      <c r="AI2783" s="93"/>
      <c r="AJ2783" s="93"/>
    </row>
    <row r="2784" spans="30:36" ht="18">
      <c r="AD2784" s="93"/>
      <c r="AE2784" s="214"/>
      <c r="AF2784" s="93"/>
      <c r="AG2784" s="93"/>
      <c r="AH2784" s="93"/>
      <c r="AI2784" s="93"/>
      <c r="AJ2784" s="93"/>
    </row>
    <row r="2785" spans="30:36" ht="18">
      <c r="AD2785" s="93"/>
      <c r="AE2785" s="214"/>
      <c r="AF2785" s="93"/>
      <c r="AG2785" s="93"/>
      <c r="AH2785" s="93"/>
      <c r="AI2785" s="93"/>
      <c r="AJ2785" s="93"/>
    </row>
    <row r="2786" spans="30:36" ht="18">
      <c r="AD2786" s="93"/>
      <c r="AE2786" s="214"/>
      <c r="AF2786" s="93"/>
      <c r="AG2786" s="93"/>
      <c r="AH2786" s="93"/>
      <c r="AI2786" s="93"/>
      <c r="AJ2786" s="93"/>
    </row>
    <row r="2787" spans="30:36" ht="18">
      <c r="AD2787" s="93"/>
      <c r="AE2787" s="215"/>
      <c r="AF2787" s="93"/>
      <c r="AG2787" s="93"/>
      <c r="AH2787" s="93"/>
      <c r="AI2787" s="93"/>
      <c r="AJ2787" s="93"/>
    </row>
    <row r="2788" spans="30:36" ht="18">
      <c r="AD2788" s="93"/>
      <c r="AE2788" s="214"/>
      <c r="AF2788" s="93"/>
      <c r="AG2788" s="93"/>
      <c r="AH2788" s="93"/>
      <c r="AI2788" s="93"/>
      <c r="AJ2788" s="93"/>
    </row>
    <row r="2789" spans="30:36" ht="18">
      <c r="AD2789" s="93"/>
      <c r="AE2789" s="214"/>
      <c r="AF2789" s="93"/>
      <c r="AG2789" s="93"/>
      <c r="AH2789" s="93"/>
      <c r="AI2789" s="93"/>
      <c r="AJ2789" s="93"/>
    </row>
    <row r="2790" spans="30:36" ht="18">
      <c r="AD2790" s="93"/>
      <c r="AE2790" s="214"/>
      <c r="AF2790" s="93"/>
      <c r="AG2790" s="93"/>
      <c r="AH2790" s="93"/>
      <c r="AI2790" s="93"/>
      <c r="AJ2790" s="93"/>
    </row>
    <row r="2791" spans="30:36" ht="18">
      <c r="AD2791" s="93"/>
      <c r="AE2791" s="214"/>
      <c r="AF2791" s="93"/>
      <c r="AG2791" s="93"/>
      <c r="AH2791" s="93"/>
      <c r="AI2791" s="93"/>
      <c r="AJ2791" s="93"/>
    </row>
    <row r="2792" spans="30:36" ht="18">
      <c r="AD2792" s="93"/>
      <c r="AE2792" s="215"/>
      <c r="AF2792" s="93"/>
      <c r="AG2792" s="93"/>
      <c r="AH2792" s="93"/>
      <c r="AI2792" s="93"/>
      <c r="AJ2792" s="93"/>
    </row>
    <row r="2793" spans="30:36" ht="18">
      <c r="AD2793" s="93"/>
      <c r="AE2793" s="214"/>
      <c r="AF2793" s="93"/>
      <c r="AG2793" s="93"/>
      <c r="AH2793" s="93"/>
      <c r="AI2793" s="93"/>
      <c r="AJ2793" s="93"/>
    </row>
    <row r="2794" spans="30:36" ht="18">
      <c r="AD2794" s="93"/>
      <c r="AE2794" s="214"/>
      <c r="AF2794" s="93"/>
      <c r="AG2794" s="93"/>
      <c r="AH2794" s="93"/>
      <c r="AI2794" s="93"/>
      <c r="AJ2794" s="93"/>
    </row>
    <row r="2795" spans="30:36" ht="18">
      <c r="AD2795" s="93"/>
      <c r="AE2795" s="214"/>
      <c r="AF2795" s="93"/>
      <c r="AG2795" s="93"/>
      <c r="AH2795" s="93"/>
      <c r="AI2795" s="93"/>
      <c r="AJ2795" s="93"/>
    </row>
    <row r="2796" spans="30:36" ht="18">
      <c r="AD2796" s="93"/>
      <c r="AE2796" s="214"/>
      <c r="AF2796" s="93"/>
      <c r="AG2796" s="93"/>
      <c r="AH2796" s="93"/>
      <c r="AI2796" s="93"/>
      <c r="AJ2796" s="93"/>
    </row>
    <row r="2797" spans="30:36" ht="18">
      <c r="AD2797" s="93"/>
      <c r="AE2797" s="215"/>
      <c r="AF2797" s="93"/>
      <c r="AG2797" s="93"/>
      <c r="AH2797" s="93"/>
      <c r="AI2797" s="93"/>
      <c r="AJ2797" s="93"/>
    </row>
    <row r="2798" spans="30:36" ht="18">
      <c r="AD2798" s="93"/>
      <c r="AE2798" s="214"/>
      <c r="AF2798" s="93"/>
      <c r="AG2798" s="93"/>
      <c r="AH2798" s="93"/>
      <c r="AI2798" s="93"/>
      <c r="AJ2798" s="93"/>
    </row>
    <row r="2799" spans="30:36" ht="18">
      <c r="AD2799" s="93"/>
      <c r="AE2799" s="214"/>
      <c r="AF2799" s="93"/>
      <c r="AG2799" s="93"/>
      <c r="AH2799" s="93"/>
      <c r="AI2799" s="93"/>
      <c r="AJ2799" s="93"/>
    </row>
    <row r="2800" spans="30:36" ht="18">
      <c r="AD2800" s="93"/>
      <c r="AE2800" s="214"/>
      <c r="AF2800" s="93"/>
      <c r="AG2800" s="93"/>
      <c r="AH2800" s="93"/>
      <c r="AI2800" s="93"/>
      <c r="AJ2800" s="93"/>
    </row>
    <row r="2801" spans="30:36" ht="18">
      <c r="AD2801" s="93"/>
      <c r="AE2801" s="214"/>
      <c r="AF2801" s="93"/>
      <c r="AG2801" s="93"/>
      <c r="AH2801" s="93"/>
      <c r="AI2801" s="93"/>
      <c r="AJ2801" s="93"/>
    </row>
    <row r="2802" spans="30:36" ht="18">
      <c r="AD2802" s="93"/>
      <c r="AE2802" s="215"/>
      <c r="AF2802" s="93"/>
      <c r="AG2802" s="93"/>
      <c r="AH2802" s="93"/>
      <c r="AI2802" s="93"/>
      <c r="AJ2802" s="93"/>
    </row>
    <row r="2803" spans="30:36" ht="18">
      <c r="AD2803" s="93"/>
      <c r="AE2803" s="214"/>
      <c r="AF2803" s="93"/>
      <c r="AG2803" s="93"/>
      <c r="AH2803" s="93"/>
      <c r="AI2803" s="93"/>
      <c r="AJ2803" s="93"/>
    </row>
    <row r="2804" spans="30:36" ht="18">
      <c r="AD2804" s="93"/>
      <c r="AE2804" s="214"/>
      <c r="AF2804" s="93"/>
      <c r="AG2804" s="93"/>
      <c r="AH2804" s="93"/>
      <c r="AI2804" s="93"/>
      <c r="AJ2804" s="93"/>
    </row>
    <row r="2805" spans="30:36" ht="18">
      <c r="AD2805" s="93"/>
      <c r="AE2805" s="214"/>
      <c r="AF2805" s="93"/>
      <c r="AG2805" s="93"/>
      <c r="AH2805" s="93"/>
      <c r="AI2805" s="93"/>
      <c r="AJ2805" s="93"/>
    </row>
    <row r="2806" spans="30:36" ht="18">
      <c r="AD2806" s="93"/>
      <c r="AE2806" s="214"/>
      <c r="AF2806" s="93"/>
      <c r="AG2806" s="93"/>
      <c r="AH2806" s="93"/>
      <c r="AI2806" s="93"/>
      <c r="AJ2806" s="93"/>
    </row>
    <row r="2807" spans="30:36" ht="18">
      <c r="AD2807" s="93"/>
      <c r="AE2807" s="215"/>
      <c r="AF2807" s="93"/>
      <c r="AG2807" s="93"/>
      <c r="AH2807" s="93"/>
      <c r="AI2807" s="93"/>
      <c r="AJ2807" s="93"/>
    </row>
    <row r="2808" spans="30:36" ht="18">
      <c r="AD2808" s="93"/>
      <c r="AE2808" s="214"/>
      <c r="AF2808" s="93"/>
      <c r="AG2808" s="93"/>
      <c r="AH2808" s="93"/>
      <c r="AI2808" s="93"/>
      <c r="AJ2808" s="93"/>
    </row>
    <row r="2809" spans="30:36" ht="18">
      <c r="AD2809" s="93"/>
      <c r="AE2809" s="214"/>
      <c r="AF2809" s="93"/>
      <c r="AG2809" s="93"/>
      <c r="AH2809" s="93"/>
      <c r="AI2809" s="93"/>
      <c r="AJ2809" s="93"/>
    </row>
    <row r="2810" spans="30:36" ht="18">
      <c r="AD2810" s="93"/>
      <c r="AE2810" s="214"/>
      <c r="AF2810" s="93"/>
      <c r="AG2810" s="93"/>
      <c r="AH2810" s="93"/>
      <c r="AI2810" s="93"/>
      <c r="AJ2810" s="93"/>
    </row>
    <row r="2811" spans="30:36" ht="18">
      <c r="AD2811" s="93"/>
      <c r="AE2811" s="214"/>
      <c r="AF2811" s="93"/>
      <c r="AG2811" s="93"/>
      <c r="AH2811" s="93"/>
      <c r="AI2811" s="93"/>
      <c r="AJ2811" s="93"/>
    </row>
    <row r="2812" spans="30:36" ht="18">
      <c r="AD2812" s="93"/>
      <c r="AE2812" s="215"/>
      <c r="AF2812" s="93"/>
      <c r="AG2812" s="93"/>
      <c r="AH2812" s="93"/>
      <c r="AI2812" s="93"/>
      <c r="AJ2812" s="93"/>
    </row>
    <row r="2813" spans="30:36" ht="18">
      <c r="AD2813" s="93"/>
      <c r="AE2813" s="214"/>
      <c r="AF2813" s="93"/>
      <c r="AG2813" s="93"/>
      <c r="AH2813" s="93"/>
      <c r="AI2813" s="93"/>
      <c r="AJ2813" s="93"/>
    </row>
    <row r="2814" spans="30:36" ht="18">
      <c r="AD2814" s="93"/>
      <c r="AE2814" s="214"/>
      <c r="AF2814" s="93"/>
      <c r="AG2814" s="93"/>
      <c r="AH2814" s="93"/>
      <c r="AI2814" s="93"/>
      <c r="AJ2814" s="93"/>
    </row>
    <row r="2815" spans="30:36" ht="18">
      <c r="AD2815" s="93"/>
      <c r="AE2815" s="214"/>
      <c r="AF2815" s="93"/>
      <c r="AG2815" s="93"/>
      <c r="AH2815" s="93"/>
      <c r="AI2815" s="93"/>
      <c r="AJ2815" s="93"/>
    </row>
    <row r="2816" spans="30:36" ht="18">
      <c r="AD2816" s="93"/>
      <c r="AE2816" s="214"/>
      <c r="AF2816" s="93"/>
      <c r="AG2816" s="93"/>
      <c r="AH2816" s="93"/>
      <c r="AI2816" s="93"/>
      <c r="AJ2816" s="93"/>
    </row>
    <row r="2817" spans="30:36" ht="18">
      <c r="AD2817" s="93"/>
      <c r="AE2817" s="215"/>
      <c r="AF2817" s="93"/>
      <c r="AG2817" s="93"/>
      <c r="AH2817" s="93"/>
      <c r="AI2817" s="93"/>
      <c r="AJ2817" s="93"/>
    </row>
    <row r="2818" spans="30:36" ht="18">
      <c r="AD2818" s="93"/>
      <c r="AE2818" s="214"/>
      <c r="AF2818" s="93"/>
      <c r="AG2818" s="93"/>
      <c r="AH2818" s="93"/>
      <c r="AI2818" s="93"/>
      <c r="AJ2818" s="93"/>
    </row>
    <row r="2819" spans="30:36" ht="18">
      <c r="AD2819" s="93"/>
      <c r="AE2819" s="214"/>
      <c r="AF2819" s="93"/>
      <c r="AG2819" s="93"/>
      <c r="AH2819" s="93"/>
      <c r="AI2819" s="93"/>
      <c r="AJ2819" s="93"/>
    </row>
    <row r="2820" spans="30:36" ht="18">
      <c r="AD2820" s="93"/>
      <c r="AE2820" s="214"/>
      <c r="AF2820" s="93"/>
      <c r="AG2820" s="93"/>
      <c r="AH2820" s="93"/>
      <c r="AI2820" s="93"/>
      <c r="AJ2820" s="93"/>
    </row>
    <row r="2821" spans="30:36" ht="18">
      <c r="AD2821" s="93"/>
      <c r="AE2821" s="214"/>
      <c r="AF2821" s="93"/>
      <c r="AG2821" s="93"/>
      <c r="AH2821" s="93"/>
      <c r="AI2821" s="93"/>
      <c r="AJ2821" s="93"/>
    </row>
    <row r="2822" spans="30:36" ht="18">
      <c r="AD2822" s="93"/>
      <c r="AE2822" s="215"/>
      <c r="AF2822" s="93"/>
      <c r="AG2822" s="93"/>
      <c r="AH2822" s="93"/>
      <c r="AI2822" s="93"/>
      <c r="AJ2822" s="93"/>
    </row>
    <row r="2823" spans="30:36" ht="18">
      <c r="AD2823" s="93"/>
      <c r="AE2823" s="214"/>
      <c r="AF2823" s="93"/>
      <c r="AG2823" s="93"/>
      <c r="AH2823" s="93"/>
      <c r="AI2823" s="93"/>
      <c r="AJ2823" s="93"/>
    </row>
    <row r="2824" spans="30:36" ht="18">
      <c r="AD2824" s="93"/>
      <c r="AE2824" s="214"/>
      <c r="AF2824" s="93"/>
      <c r="AG2824" s="93"/>
      <c r="AH2824" s="93"/>
      <c r="AI2824" s="93"/>
      <c r="AJ2824" s="93"/>
    </row>
    <row r="2825" spans="30:36" ht="18">
      <c r="AD2825" s="93"/>
      <c r="AE2825" s="214"/>
      <c r="AF2825" s="93"/>
      <c r="AG2825" s="93"/>
      <c r="AH2825" s="93"/>
      <c r="AI2825" s="93"/>
      <c r="AJ2825" s="93"/>
    </row>
    <row r="2826" spans="30:36" ht="18">
      <c r="AD2826" s="93"/>
      <c r="AE2826" s="214"/>
      <c r="AF2826" s="93"/>
      <c r="AG2826" s="93"/>
      <c r="AH2826" s="93"/>
      <c r="AI2826" s="93"/>
      <c r="AJ2826" s="93"/>
    </row>
    <row r="2827" spans="30:36" ht="18">
      <c r="AD2827" s="93"/>
      <c r="AE2827" s="214"/>
      <c r="AF2827" s="93"/>
      <c r="AG2827" s="93"/>
      <c r="AH2827" s="93"/>
      <c r="AI2827" s="93"/>
      <c r="AJ2827" s="93"/>
    </row>
    <row r="2828" spans="30:36" ht="18">
      <c r="AD2828" s="93"/>
      <c r="AE2828" s="214"/>
      <c r="AF2828" s="93"/>
      <c r="AG2828" s="93"/>
      <c r="AH2828" s="93"/>
      <c r="AI2828" s="93"/>
      <c r="AJ2828" s="93"/>
    </row>
    <row r="2829" spans="30:36" ht="18">
      <c r="AD2829" s="93"/>
      <c r="AE2829" s="214"/>
      <c r="AF2829" s="93"/>
      <c r="AG2829" s="93"/>
      <c r="AH2829" s="93"/>
      <c r="AI2829" s="93"/>
      <c r="AJ2829" s="93"/>
    </row>
    <row r="2830" spans="30:36" ht="18">
      <c r="AD2830" s="93"/>
      <c r="AE2830" s="214"/>
      <c r="AF2830" s="93"/>
      <c r="AG2830" s="93"/>
      <c r="AH2830" s="93"/>
      <c r="AI2830" s="93"/>
      <c r="AJ2830" s="93"/>
    </row>
    <row r="2831" spans="30:36" ht="18">
      <c r="AD2831" s="93"/>
      <c r="AE2831" s="214"/>
      <c r="AF2831" s="93"/>
      <c r="AG2831" s="93"/>
      <c r="AH2831" s="93"/>
      <c r="AI2831" s="93"/>
      <c r="AJ2831" s="93"/>
    </row>
    <row r="2832" spans="30:36" ht="18">
      <c r="AD2832" s="93"/>
      <c r="AE2832" s="214"/>
      <c r="AF2832" s="93"/>
      <c r="AG2832" s="93"/>
      <c r="AH2832" s="93"/>
      <c r="AI2832" s="93"/>
      <c r="AJ2832" s="93"/>
    </row>
    <row r="2833" spans="30:36" ht="18">
      <c r="AD2833" s="93"/>
      <c r="AE2833" s="215"/>
      <c r="AF2833" s="93"/>
      <c r="AG2833" s="93"/>
      <c r="AH2833" s="93"/>
      <c r="AI2833" s="93"/>
      <c r="AJ2833" s="93"/>
    </row>
    <row r="2834" spans="30:36" ht="18">
      <c r="AD2834" s="93"/>
      <c r="AE2834" s="214"/>
      <c r="AF2834" s="93"/>
      <c r="AG2834" s="93"/>
      <c r="AH2834" s="93"/>
      <c r="AI2834" s="93"/>
      <c r="AJ2834" s="93"/>
    </row>
    <row r="2835" spans="30:36" ht="18">
      <c r="AD2835" s="93"/>
      <c r="AE2835" s="214"/>
      <c r="AF2835" s="93"/>
      <c r="AG2835" s="93"/>
      <c r="AH2835" s="93"/>
      <c r="AI2835" s="93"/>
      <c r="AJ2835" s="93"/>
    </row>
    <row r="2836" spans="30:36" ht="18">
      <c r="AD2836" s="93"/>
      <c r="AE2836" s="214"/>
      <c r="AF2836" s="93"/>
      <c r="AG2836" s="93"/>
      <c r="AH2836" s="93"/>
      <c r="AI2836" s="93"/>
      <c r="AJ2836" s="93"/>
    </row>
    <row r="2837" spans="30:36" ht="18">
      <c r="AD2837" s="93"/>
      <c r="AE2837" s="214"/>
      <c r="AF2837" s="93"/>
      <c r="AG2837" s="93"/>
      <c r="AH2837" s="93"/>
      <c r="AI2837" s="93"/>
      <c r="AJ2837" s="93"/>
    </row>
    <row r="2838" spans="30:36" ht="18">
      <c r="AD2838" s="93"/>
      <c r="AE2838" s="215"/>
      <c r="AF2838" s="93"/>
      <c r="AG2838" s="93"/>
      <c r="AH2838" s="93"/>
      <c r="AI2838" s="93"/>
      <c r="AJ2838" s="93"/>
    </row>
    <row r="2839" spans="30:36" ht="18">
      <c r="AD2839" s="93"/>
      <c r="AE2839" s="214"/>
      <c r="AF2839" s="93"/>
      <c r="AG2839" s="93"/>
      <c r="AH2839" s="93"/>
      <c r="AI2839" s="93"/>
      <c r="AJ2839" s="93"/>
    </row>
    <row r="2840" spans="30:36" ht="18">
      <c r="AD2840" s="93"/>
      <c r="AE2840" s="214"/>
      <c r="AF2840" s="93"/>
      <c r="AG2840" s="93"/>
      <c r="AH2840" s="93"/>
      <c r="AI2840" s="93"/>
      <c r="AJ2840" s="93"/>
    </row>
    <row r="2841" spans="30:36" ht="18">
      <c r="AD2841" s="93"/>
      <c r="AE2841" s="214"/>
      <c r="AF2841" s="93"/>
      <c r="AG2841" s="93"/>
      <c r="AH2841" s="93"/>
      <c r="AI2841" s="93"/>
      <c r="AJ2841" s="93"/>
    </row>
    <row r="2842" spans="30:36" ht="18">
      <c r="AD2842" s="93"/>
      <c r="AE2842" s="214"/>
      <c r="AF2842" s="93"/>
      <c r="AG2842" s="93"/>
      <c r="AH2842" s="93"/>
      <c r="AI2842" s="93"/>
      <c r="AJ2842" s="93"/>
    </row>
    <row r="2843" spans="30:36" ht="18">
      <c r="AD2843" s="93"/>
      <c r="AE2843" s="214"/>
      <c r="AF2843" s="93"/>
      <c r="AG2843" s="93"/>
      <c r="AH2843" s="93"/>
      <c r="AI2843" s="93"/>
      <c r="AJ2843" s="93"/>
    </row>
    <row r="2844" spans="30:36" ht="18">
      <c r="AD2844" s="93"/>
      <c r="AE2844" s="214"/>
      <c r="AF2844" s="93"/>
      <c r="AG2844" s="93"/>
      <c r="AH2844" s="93"/>
      <c r="AI2844" s="93"/>
      <c r="AJ2844" s="93"/>
    </row>
    <row r="2845" spans="30:36" ht="18">
      <c r="AD2845" s="93"/>
      <c r="AE2845" s="214"/>
      <c r="AF2845" s="93"/>
      <c r="AG2845" s="93"/>
      <c r="AH2845" s="93"/>
      <c r="AI2845" s="93"/>
      <c r="AJ2845" s="93"/>
    </row>
    <row r="2846" spans="30:36" ht="18">
      <c r="AD2846" s="93"/>
      <c r="AE2846" s="214"/>
      <c r="AF2846" s="93"/>
      <c r="AG2846" s="93"/>
      <c r="AH2846" s="93"/>
      <c r="AI2846" s="93"/>
      <c r="AJ2846" s="93"/>
    </row>
    <row r="2847" spans="30:36" ht="18">
      <c r="AD2847" s="93"/>
      <c r="AE2847" s="214"/>
      <c r="AF2847" s="93"/>
      <c r="AG2847" s="93"/>
      <c r="AH2847" s="93"/>
      <c r="AI2847" s="93"/>
      <c r="AJ2847" s="93"/>
    </row>
    <row r="2848" spans="30:36" ht="18">
      <c r="AD2848" s="93"/>
      <c r="AE2848" s="214"/>
      <c r="AF2848" s="93"/>
      <c r="AG2848" s="93"/>
      <c r="AH2848" s="93"/>
      <c r="AI2848" s="93"/>
      <c r="AJ2848" s="93"/>
    </row>
    <row r="2849" spans="30:36" ht="18">
      <c r="AD2849" s="93"/>
      <c r="AE2849" s="214"/>
      <c r="AF2849" s="93"/>
      <c r="AG2849" s="93"/>
      <c r="AH2849" s="93"/>
      <c r="AI2849" s="93"/>
      <c r="AJ2849" s="93"/>
    </row>
    <row r="2850" spans="30:36" ht="18">
      <c r="AD2850" s="93"/>
      <c r="AE2850" s="214"/>
      <c r="AF2850" s="93"/>
      <c r="AG2850" s="93"/>
      <c r="AH2850" s="93"/>
      <c r="AI2850" s="93"/>
      <c r="AJ2850" s="93"/>
    </row>
    <row r="2851" spans="30:36" ht="18">
      <c r="AD2851" s="93"/>
      <c r="AE2851" s="214"/>
      <c r="AF2851" s="93"/>
      <c r="AG2851" s="93"/>
      <c r="AH2851" s="93"/>
      <c r="AI2851" s="93"/>
      <c r="AJ2851" s="93"/>
    </row>
    <row r="2852" spans="30:36" ht="18">
      <c r="AD2852" s="93"/>
      <c r="AE2852" s="214"/>
      <c r="AF2852" s="93"/>
      <c r="AG2852" s="93"/>
      <c r="AH2852" s="93"/>
      <c r="AI2852" s="93"/>
      <c r="AJ2852" s="93"/>
    </row>
    <row r="2853" spans="30:36" ht="18">
      <c r="AD2853" s="93"/>
      <c r="AE2853" s="214"/>
      <c r="AF2853" s="93"/>
      <c r="AG2853" s="93"/>
      <c r="AH2853" s="93"/>
      <c r="AI2853" s="93"/>
      <c r="AJ2853" s="93"/>
    </row>
    <row r="2854" spans="30:36" ht="18">
      <c r="AD2854" s="93"/>
      <c r="AE2854" s="214"/>
      <c r="AF2854" s="93"/>
      <c r="AG2854" s="93"/>
      <c r="AH2854" s="93"/>
      <c r="AI2854" s="93"/>
      <c r="AJ2854" s="93"/>
    </row>
    <row r="2855" spans="30:36" ht="18">
      <c r="AD2855" s="93"/>
      <c r="AE2855" s="214"/>
      <c r="AF2855" s="93"/>
      <c r="AG2855" s="93"/>
      <c r="AH2855" s="93"/>
      <c r="AI2855" s="93"/>
      <c r="AJ2855" s="93"/>
    </row>
    <row r="2856" spans="30:36" ht="18">
      <c r="AD2856" s="93"/>
      <c r="AE2856" s="215"/>
      <c r="AF2856" s="93"/>
      <c r="AG2856" s="93"/>
      <c r="AH2856" s="93"/>
      <c r="AI2856" s="93"/>
      <c r="AJ2856" s="93"/>
    </row>
    <row r="2857" spans="30:36" ht="18">
      <c r="AD2857" s="93"/>
      <c r="AE2857" s="214"/>
      <c r="AF2857" s="93"/>
      <c r="AG2857" s="93"/>
      <c r="AH2857" s="93"/>
      <c r="AI2857" s="93"/>
      <c r="AJ2857" s="93"/>
    </row>
    <row r="2858" spans="30:36" ht="18">
      <c r="AD2858" s="93"/>
      <c r="AE2858" s="214"/>
      <c r="AF2858" s="93"/>
      <c r="AG2858" s="93"/>
      <c r="AH2858" s="93"/>
      <c r="AI2858" s="93"/>
      <c r="AJ2858" s="93"/>
    </row>
    <row r="2859" spans="30:36" ht="18">
      <c r="AD2859" s="93"/>
      <c r="AE2859" s="214"/>
      <c r="AF2859" s="93"/>
      <c r="AG2859" s="93"/>
      <c r="AH2859" s="93"/>
      <c r="AI2859" s="93"/>
      <c r="AJ2859" s="93"/>
    </row>
    <row r="2860" spans="30:36" ht="18">
      <c r="AD2860" s="93"/>
      <c r="AE2860" s="214"/>
      <c r="AF2860" s="93"/>
      <c r="AG2860" s="93"/>
      <c r="AH2860" s="93"/>
      <c r="AI2860" s="93"/>
      <c r="AJ2860" s="93"/>
    </row>
    <row r="2861" spans="30:36" ht="18">
      <c r="AD2861" s="93"/>
      <c r="AE2861" s="214"/>
      <c r="AF2861" s="93"/>
      <c r="AG2861" s="93"/>
      <c r="AH2861" s="93"/>
      <c r="AI2861" s="93"/>
      <c r="AJ2861" s="93"/>
    </row>
    <row r="2862" spans="30:36" ht="18">
      <c r="AD2862" s="93"/>
      <c r="AE2862" s="214"/>
      <c r="AF2862" s="93"/>
      <c r="AG2862" s="93"/>
      <c r="AH2862" s="93"/>
      <c r="AI2862" s="93"/>
      <c r="AJ2862" s="93"/>
    </row>
    <row r="2863" spans="30:36" ht="18">
      <c r="AD2863" s="93"/>
      <c r="AE2863" s="214"/>
      <c r="AF2863" s="93"/>
      <c r="AG2863" s="93"/>
      <c r="AH2863" s="93"/>
      <c r="AI2863" s="93"/>
      <c r="AJ2863" s="93"/>
    </row>
    <row r="2864" spans="30:36" ht="18">
      <c r="AD2864" s="93"/>
      <c r="AE2864" s="214"/>
      <c r="AF2864" s="93"/>
      <c r="AG2864" s="93"/>
      <c r="AH2864" s="93"/>
      <c r="AI2864" s="93"/>
      <c r="AJ2864" s="93"/>
    </row>
    <row r="2865" spans="30:36" ht="18">
      <c r="AD2865" s="93"/>
      <c r="AE2865" s="214"/>
      <c r="AF2865" s="93"/>
      <c r="AG2865" s="93"/>
      <c r="AH2865" s="93"/>
      <c r="AI2865" s="93"/>
      <c r="AJ2865" s="93"/>
    </row>
    <row r="2866" spans="30:36" ht="18">
      <c r="AD2866" s="93"/>
      <c r="AE2866" s="214"/>
      <c r="AF2866" s="93"/>
      <c r="AG2866" s="93"/>
      <c r="AH2866" s="93"/>
      <c r="AI2866" s="93"/>
      <c r="AJ2866" s="93"/>
    </row>
    <row r="2867" spans="30:36" ht="18">
      <c r="AD2867" s="93"/>
      <c r="AE2867" s="214"/>
      <c r="AF2867" s="93"/>
      <c r="AG2867" s="93"/>
      <c r="AH2867" s="93"/>
      <c r="AI2867" s="93"/>
      <c r="AJ2867" s="93"/>
    </row>
    <row r="2868" spans="30:36" ht="18">
      <c r="AD2868" s="93"/>
      <c r="AE2868" s="214"/>
      <c r="AF2868" s="93"/>
      <c r="AG2868" s="93"/>
      <c r="AH2868" s="93"/>
      <c r="AI2868" s="93"/>
      <c r="AJ2868" s="93"/>
    </row>
    <row r="2869" spans="30:36" ht="18">
      <c r="AD2869" s="93"/>
      <c r="AE2869" s="215"/>
      <c r="AF2869" s="93"/>
      <c r="AG2869" s="93"/>
      <c r="AH2869" s="93"/>
      <c r="AI2869" s="93"/>
      <c r="AJ2869" s="93"/>
    </row>
    <row r="2870" spans="30:36" ht="18">
      <c r="AD2870" s="93"/>
      <c r="AE2870" s="215"/>
      <c r="AF2870" s="93"/>
      <c r="AG2870" s="93"/>
      <c r="AH2870" s="93"/>
      <c r="AI2870" s="93"/>
      <c r="AJ2870" s="93"/>
    </row>
    <row r="2871" spans="30:36" ht="18">
      <c r="AD2871" s="93"/>
      <c r="AE2871" s="214"/>
      <c r="AF2871" s="93"/>
      <c r="AG2871" s="93"/>
      <c r="AH2871" s="93"/>
      <c r="AI2871" s="93"/>
      <c r="AJ2871" s="93"/>
    </row>
    <row r="2872" spans="30:36" ht="18">
      <c r="AD2872" s="93"/>
      <c r="AE2872" s="214"/>
      <c r="AF2872" s="93"/>
      <c r="AG2872" s="93"/>
      <c r="AH2872" s="93"/>
      <c r="AI2872" s="93"/>
      <c r="AJ2872" s="93"/>
    </row>
    <row r="2873" spans="30:36" ht="18">
      <c r="AD2873" s="93"/>
      <c r="AE2873" s="214"/>
      <c r="AF2873" s="93"/>
      <c r="AG2873" s="93"/>
      <c r="AH2873" s="93"/>
      <c r="AI2873" s="93"/>
      <c r="AJ2873" s="93"/>
    </row>
    <row r="2874" spans="30:36" ht="18">
      <c r="AD2874" s="93"/>
      <c r="AE2874" s="214"/>
      <c r="AF2874" s="93"/>
      <c r="AG2874" s="93"/>
      <c r="AH2874" s="93"/>
      <c r="AI2874" s="93"/>
      <c r="AJ2874" s="93"/>
    </row>
    <row r="2875" spans="30:36" ht="18">
      <c r="AD2875" s="93"/>
      <c r="AE2875" s="215"/>
      <c r="AF2875" s="93"/>
      <c r="AG2875" s="93"/>
      <c r="AH2875" s="93"/>
      <c r="AI2875" s="93"/>
      <c r="AJ2875" s="93"/>
    </row>
    <row r="2876" spans="30:36" ht="18">
      <c r="AD2876" s="93"/>
      <c r="AE2876" s="214"/>
      <c r="AF2876" s="93"/>
      <c r="AG2876" s="93"/>
      <c r="AH2876" s="93"/>
      <c r="AI2876" s="93"/>
      <c r="AJ2876" s="93"/>
    </row>
    <row r="2877" spans="30:36" ht="18">
      <c r="AD2877" s="93"/>
      <c r="AE2877" s="214"/>
      <c r="AF2877" s="93"/>
      <c r="AG2877" s="93"/>
      <c r="AH2877" s="93"/>
      <c r="AI2877" s="93"/>
      <c r="AJ2877" s="93"/>
    </row>
    <row r="2878" spans="30:36" ht="18">
      <c r="AD2878" s="93"/>
      <c r="AE2878" s="214"/>
      <c r="AF2878" s="93"/>
      <c r="AG2878" s="93"/>
      <c r="AH2878" s="93"/>
      <c r="AI2878" s="93"/>
      <c r="AJ2878" s="93"/>
    </row>
    <row r="2879" spans="30:36" ht="18">
      <c r="AD2879" s="93"/>
      <c r="AE2879" s="214"/>
      <c r="AF2879" s="93"/>
      <c r="AG2879" s="93"/>
      <c r="AH2879" s="93"/>
      <c r="AI2879" s="93"/>
      <c r="AJ2879" s="93"/>
    </row>
    <row r="2880" spans="30:36" ht="18">
      <c r="AD2880" s="93"/>
      <c r="AE2880" s="215"/>
      <c r="AF2880" s="93"/>
      <c r="AG2880" s="93"/>
      <c r="AH2880" s="93"/>
      <c r="AI2880" s="93"/>
      <c r="AJ2880" s="93"/>
    </row>
    <row r="2881" spans="30:36" ht="18">
      <c r="AD2881" s="93"/>
      <c r="AE2881" s="214"/>
      <c r="AF2881" s="93"/>
      <c r="AG2881" s="93"/>
      <c r="AH2881" s="93"/>
      <c r="AI2881" s="93"/>
      <c r="AJ2881" s="93"/>
    </row>
    <row r="2882" spans="30:36" ht="18">
      <c r="AD2882" s="93"/>
      <c r="AE2882" s="214"/>
      <c r="AF2882" s="93"/>
      <c r="AG2882" s="93"/>
      <c r="AH2882" s="93"/>
      <c r="AI2882" s="93"/>
      <c r="AJ2882" s="93"/>
    </row>
    <row r="2883" spans="30:36" ht="18">
      <c r="AD2883" s="93"/>
      <c r="AE2883" s="214"/>
      <c r="AF2883" s="93"/>
      <c r="AG2883" s="93"/>
      <c r="AH2883" s="93"/>
      <c r="AI2883" s="93"/>
      <c r="AJ2883" s="93"/>
    </row>
    <row r="2884" spans="30:36" ht="18">
      <c r="AD2884" s="93"/>
      <c r="AE2884" s="214"/>
      <c r="AF2884" s="93"/>
      <c r="AG2884" s="93"/>
      <c r="AH2884" s="93"/>
      <c r="AI2884" s="93"/>
      <c r="AJ2884" s="93"/>
    </row>
    <row r="2885" spans="30:36" ht="18">
      <c r="AD2885" s="93"/>
      <c r="AE2885" s="215"/>
      <c r="AF2885" s="93"/>
      <c r="AG2885" s="93"/>
      <c r="AH2885" s="93"/>
      <c r="AI2885" s="93"/>
      <c r="AJ2885" s="93"/>
    </row>
    <row r="2886" spans="30:36" ht="18">
      <c r="AD2886" s="93"/>
      <c r="AE2886" s="214"/>
      <c r="AF2886" s="93"/>
      <c r="AG2886" s="93"/>
      <c r="AH2886" s="93"/>
      <c r="AI2886" s="93"/>
      <c r="AJ2886" s="93"/>
    </row>
    <row r="2887" spans="30:36" ht="18">
      <c r="AD2887" s="93"/>
      <c r="AE2887" s="214"/>
      <c r="AF2887" s="93"/>
      <c r="AG2887" s="93"/>
      <c r="AH2887" s="93"/>
      <c r="AI2887" s="93"/>
      <c r="AJ2887" s="93"/>
    </row>
    <row r="2888" spans="30:36" ht="18">
      <c r="AD2888" s="93"/>
      <c r="AE2888" s="214"/>
      <c r="AF2888" s="93"/>
      <c r="AG2888" s="93"/>
      <c r="AH2888" s="93"/>
      <c r="AI2888" s="93"/>
      <c r="AJ2888" s="93"/>
    </row>
    <row r="2889" spans="30:36" ht="18">
      <c r="AD2889" s="93"/>
      <c r="AE2889" s="214"/>
      <c r="AF2889" s="93"/>
      <c r="AG2889" s="93"/>
      <c r="AH2889" s="93"/>
      <c r="AI2889" s="93"/>
      <c r="AJ2889" s="93"/>
    </row>
    <row r="2890" spans="30:36" ht="18">
      <c r="AD2890" s="93"/>
      <c r="AE2890" s="215"/>
      <c r="AF2890" s="93"/>
      <c r="AG2890" s="93"/>
      <c r="AH2890" s="93"/>
      <c r="AI2890" s="93"/>
      <c r="AJ2890" s="93"/>
    </row>
    <row r="2891" spans="30:36" ht="18">
      <c r="AD2891" s="93"/>
      <c r="AE2891" s="214"/>
      <c r="AF2891" s="93"/>
      <c r="AG2891" s="93"/>
      <c r="AH2891" s="93"/>
      <c r="AI2891" s="93"/>
      <c r="AJ2891" s="93"/>
    </row>
    <row r="2892" spans="30:36" ht="18">
      <c r="AD2892" s="93"/>
      <c r="AE2892" s="214"/>
      <c r="AF2892" s="93"/>
      <c r="AG2892" s="93"/>
      <c r="AH2892" s="93"/>
      <c r="AI2892" s="93"/>
      <c r="AJ2892" s="93"/>
    </row>
    <row r="2893" spans="30:36" ht="18">
      <c r="AD2893" s="93"/>
      <c r="AE2893" s="214"/>
      <c r="AF2893" s="93"/>
      <c r="AG2893" s="93"/>
      <c r="AH2893" s="93"/>
      <c r="AI2893" s="93"/>
      <c r="AJ2893" s="93"/>
    </row>
    <row r="2894" spans="30:36" ht="18">
      <c r="AD2894" s="93"/>
      <c r="AE2894" s="214"/>
      <c r="AF2894" s="93"/>
      <c r="AG2894" s="93"/>
      <c r="AH2894" s="93"/>
      <c r="AI2894" s="93"/>
      <c r="AJ2894" s="93"/>
    </row>
    <row r="2895" spans="30:36" ht="18">
      <c r="AD2895" s="93"/>
      <c r="AE2895" s="215"/>
      <c r="AF2895" s="93"/>
      <c r="AG2895" s="93"/>
      <c r="AH2895" s="93"/>
      <c r="AI2895" s="93"/>
      <c r="AJ2895" s="93"/>
    </row>
    <row r="2896" spans="30:36" ht="18">
      <c r="AD2896" s="93"/>
      <c r="AE2896" s="214"/>
      <c r="AF2896" s="93"/>
      <c r="AG2896" s="93"/>
      <c r="AH2896" s="93"/>
      <c r="AI2896" s="93"/>
      <c r="AJ2896" s="93"/>
    </row>
    <row r="2897" spans="30:36" ht="18">
      <c r="AD2897" s="93"/>
      <c r="AE2897" s="214"/>
      <c r="AF2897" s="93"/>
      <c r="AG2897" s="93"/>
      <c r="AH2897" s="93"/>
      <c r="AI2897" s="93"/>
      <c r="AJ2897" s="93"/>
    </row>
    <row r="2898" spans="30:36" ht="18">
      <c r="AD2898" s="93"/>
      <c r="AE2898" s="214"/>
      <c r="AF2898" s="93"/>
      <c r="AG2898" s="93"/>
      <c r="AH2898" s="93"/>
      <c r="AI2898" s="93"/>
      <c r="AJ2898" s="93"/>
    </row>
    <row r="2899" spans="30:36" ht="18">
      <c r="AD2899" s="93"/>
      <c r="AE2899" s="214"/>
      <c r="AF2899" s="93"/>
      <c r="AG2899" s="93"/>
      <c r="AH2899" s="93"/>
      <c r="AI2899" s="93"/>
      <c r="AJ2899" s="93"/>
    </row>
    <row r="2900" spans="30:36" ht="18">
      <c r="AD2900" s="93"/>
      <c r="AE2900" s="214"/>
      <c r="AF2900" s="93"/>
      <c r="AG2900" s="93"/>
      <c r="AH2900" s="93"/>
      <c r="AI2900" s="93"/>
      <c r="AJ2900" s="93"/>
    </row>
    <row r="2901" spans="30:36" ht="18">
      <c r="AD2901" s="93"/>
      <c r="AE2901" s="214"/>
      <c r="AF2901" s="93"/>
      <c r="AG2901" s="93"/>
      <c r="AH2901" s="93"/>
      <c r="AI2901" s="93"/>
      <c r="AJ2901" s="93"/>
    </row>
    <row r="2902" spans="30:36" ht="18">
      <c r="AD2902" s="93"/>
      <c r="AE2902" s="214"/>
      <c r="AF2902" s="93"/>
      <c r="AG2902" s="93"/>
      <c r="AH2902" s="93"/>
      <c r="AI2902" s="93"/>
      <c r="AJ2902" s="93"/>
    </row>
    <row r="2903" spans="30:36" ht="18">
      <c r="AD2903" s="93"/>
      <c r="AE2903" s="214"/>
      <c r="AF2903" s="93"/>
      <c r="AG2903" s="93"/>
      <c r="AH2903" s="93"/>
      <c r="AI2903" s="93"/>
      <c r="AJ2903" s="93"/>
    </row>
    <row r="2904" spans="30:36" ht="18">
      <c r="AD2904" s="93"/>
      <c r="AE2904" s="214"/>
      <c r="AF2904" s="93"/>
      <c r="AG2904" s="93"/>
      <c r="AH2904" s="93"/>
      <c r="AI2904" s="93"/>
      <c r="AJ2904" s="93"/>
    </row>
    <row r="2905" spans="30:36" ht="18">
      <c r="AD2905" s="93"/>
      <c r="AE2905" s="215"/>
      <c r="AF2905" s="93"/>
      <c r="AG2905" s="93"/>
      <c r="AH2905" s="93"/>
      <c r="AI2905" s="93"/>
      <c r="AJ2905" s="93"/>
    </row>
    <row r="2906" spans="30:36" ht="18">
      <c r="AD2906" s="93"/>
      <c r="AE2906" s="214"/>
      <c r="AF2906" s="93"/>
      <c r="AG2906" s="93"/>
      <c r="AH2906" s="93"/>
      <c r="AI2906" s="93"/>
      <c r="AJ2906" s="93"/>
    </row>
    <row r="2907" spans="30:36" ht="18">
      <c r="AD2907" s="93"/>
      <c r="AE2907" s="214"/>
      <c r="AF2907" s="93"/>
      <c r="AG2907" s="93"/>
      <c r="AH2907" s="93"/>
      <c r="AI2907" s="93"/>
      <c r="AJ2907" s="93"/>
    </row>
    <row r="2908" spans="30:36" ht="18">
      <c r="AD2908" s="93"/>
      <c r="AE2908" s="214"/>
      <c r="AF2908" s="93"/>
      <c r="AG2908" s="93"/>
      <c r="AH2908" s="93"/>
      <c r="AI2908" s="93"/>
      <c r="AJ2908" s="93"/>
    </row>
    <row r="2909" spans="30:36" ht="18">
      <c r="AD2909" s="93"/>
      <c r="AE2909" s="214"/>
      <c r="AF2909" s="93"/>
      <c r="AG2909" s="93"/>
      <c r="AH2909" s="93"/>
      <c r="AI2909" s="93"/>
      <c r="AJ2909" s="93"/>
    </row>
    <row r="2910" spans="30:36" ht="18">
      <c r="AD2910" s="93"/>
      <c r="AE2910" s="215"/>
      <c r="AF2910" s="93"/>
      <c r="AG2910" s="93"/>
      <c r="AH2910" s="93"/>
      <c r="AI2910" s="93"/>
      <c r="AJ2910" s="93"/>
    </row>
    <row r="2911" spans="30:36" ht="18">
      <c r="AD2911" s="93"/>
      <c r="AE2911" s="214"/>
      <c r="AF2911" s="93"/>
      <c r="AG2911" s="93"/>
      <c r="AH2911" s="93"/>
      <c r="AI2911" s="93"/>
      <c r="AJ2911" s="93"/>
    </row>
    <row r="2912" spans="30:36" ht="18">
      <c r="AD2912" s="93"/>
      <c r="AE2912" s="214"/>
      <c r="AF2912" s="93"/>
      <c r="AG2912" s="93"/>
      <c r="AH2912" s="93"/>
      <c r="AI2912" s="93"/>
      <c r="AJ2912" s="93"/>
    </row>
    <row r="2913" spans="30:36" ht="18">
      <c r="AD2913" s="93"/>
      <c r="AE2913" s="214"/>
      <c r="AF2913" s="93"/>
      <c r="AG2913" s="93"/>
      <c r="AH2913" s="93"/>
      <c r="AI2913" s="93"/>
      <c r="AJ2913" s="93"/>
    </row>
    <row r="2914" spans="30:36" ht="18">
      <c r="AD2914" s="93"/>
      <c r="AE2914" s="214"/>
      <c r="AF2914" s="93"/>
      <c r="AG2914" s="93"/>
      <c r="AH2914" s="93"/>
      <c r="AI2914" s="93"/>
      <c r="AJ2914" s="93"/>
    </row>
    <row r="2915" spans="30:36" ht="18">
      <c r="AD2915" s="93"/>
      <c r="AE2915" s="215"/>
      <c r="AF2915" s="93"/>
      <c r="AG2915" s="93"/>
      <c r="AH2915" s="93"/>
      <c r="AI2915" s="93"/>
      <c r="AJ2915" s="93"/>
    </row>
    <row r="2916" spans="30:36" ht="18">
      <c r="AD2916" s="93"/>
      <c r="AE2916" s="214"/>
      <c r="AF2916" s="93"/>
      <c r="AG2916" s="93"/>
      <c r="AH2916" s="93"/>
      <c r="AI2916" s="93"/>
      <c r="AJ2916" s="93"/>
    </row>
    <row r="2917" spans="30:36" ht="18">
      <c r="AD2917" s="93"/>
      <c r="AE2917" s="214"/>
      <c r="AF2917" s="93"/>
      <c r="AG2917" s="93"/>
      <c r="AH2917" s="93"/>
      <c r="AI2917" s="93"/>
      <c r="AJ2917" s="93"/>
    </row>
    <row r="2918" spans="30:36" ht="18">
      <c r="AD2918" s="93"/>
      <c r="AE2918" s="214"/>
      <c r="AF2918" s="93"/>
      <c r="AG2918" s="93"/>
      <c r="AH2918" s="93"/>
      <c r="AI2918" s="93"/>
      <c r="AJ2918" s="93"/>
    </row>
    <row r="2919" spans="30:36" ht="18">
      <c r="AD2919" s="93"/>
      <c r="AE2919" s="214"/>
      <c r="AF2919" s="93"/>
      <c r="AG2919" s="93"/>
      <c r="AH2919" s="93"/>
      <c r="AI2919" s="93"/>
      <c r="AJ2919" s="93"/>
    </row>
    <row r="2920" spans="30:36" ht="18">
      <c r="AD2920" s="93"/>
      <c r="AE2920" s="215"/>
      <c r="AF2920" s="93"/>
      <c r="AG2920" s="93"/>
      <c r="AH2920" s="93"/>
      <c r="AI2920" s="93"/>
      <c r="AJ2920" s="93"/>
    </row>
    <row r="2921" spans="30:36" ht="18">
      <c r="AD2921" s="93"/>
      <c r="AE2921" s="214"/>
      <c r="AF2921" s="93"/>
      <c r="AG2921" s="93"/>
      <c r="AH2921" s="93"/>
      <c r="AI2921" s="93"/>
      <c r="AJ2921" s="93"/>
    </row>
    <row r="2922" spans="30:36" ht="18">
      <c r="AD2922" s="93"/>
      <c r="AE2922" s="214"/>
      <c r="AF2922" s="93"/>
      <c r="AG2922" s="93"/>
      <c r="AH2922" s="93"/>
      <c r="AI2922" s="93"/>
      <c r="AJ2922" s="93"/>
    </row>
    <row r="2923" spans="30:36" ht="18">
      <c r="AD2923" s="93"/>
      <c r="AE2923" s="214"/>
      <c r="AF2923" s="93"/>
      <c r="AG2923" s="93"/>
      <c r="AH2923" s="93"/>
      <c r="AI2923" s="93"/>
      <c r="AJ2923" s="93"/>
    </row>
    <row r="2924" spans="30:36" ht="18">
      <c r="AD2924" s="93"/>
      <c r="AE2924" s="214"/>
      <c r="AF2924" s="93"/>
      <c r="AG2924" s="93"/>
      <c r="AH2924" s="93"/>
      <c r="AI2924" s="93"/>
      <c r="AJ2924" s="93"/>
    </row>
    <row r="2925" spans="30:36" ht="18">
      <c r="AD2925" s="93"/>
      <c r="AE2925" s="215"/>
      <c r="AF2925" s="93"/>
      <c r="AG2925" s="93"/>
      <c r="AH2925" s="93"/>
      <c r="AI2925" s="93"/>
      <c r="AJ2925" s="93"/>
    </row>
    <row r="2926" spans="30:36" ht="18">
      <c r="AD2926" s="93"/>
      <c r="AE2926" s="214"/>
      <c r="AF2926" s="93"/>
      <c r="AG2926" s="93"/>
      <c r="AH2926" s="93"/>
      <c r="AI2926" s="93"/>
      <c r="AJ2926" s="93"/>
    </row>
    <row r="2927" spans="30:36" ht="18">
      <c r="AD2927" s="93"/>
      <c r="AE2927" s="214"/>
      <c r="AF2927" s="93"/>
      <c r="AG2927" s="93"/>
      <c r="AH2927" s="93"/>
      <c r="AI2927" s="93"/>
      <c r="AJ2927" s="93"/>
    </row>
    <row r="2928" spans="30:36" ht="18">
      <c r="AD2928" s="93"/>
      <c r="AE2928" s="214"/>
      <c r="AF2928" s="93"/>
      <c r="AG2928" s="93"/>
      <c r="AH2928" s="93"/>
      <c r="AI2928" s="93"/>
      <c r="AJ2928" s="93"/>
    </row>
    <row r="2929" spans="30:36" ht="18">
      <c r="AD2929" s="93"/>
      <c r="AE2929" s="214"/>
      <c r="AF2929" s="93"/>
      <c r="AG2929" s="93"/>
      <c r="AH2929" s="93"/>
      <c r="AI2929" s="93"/>
      <c r="AJ2929" s="93"/>
    </row>
    <row r="2930" spans="30:36" ht="18">
      <c r="AD2930" s="93"/>
      <c r="AE2930" s="215"/>
      <c r="AF2930" s="93"/>
      <c r="AG2930" s="93"/>
      <c r="AH2930" s="93"/>
      <c r="AI2930" s="93"/>
      <c r="AJ2930" s="93"/>
    </row>
    <row r="2931" spans="30:36" ht="18">
      <c r="AD2931" s="93"/>
      <c r="AE2931" s="214"/>
      <c r="AF2931" s="93"/>
      <c r="AG2931" s="93"/>
      <c r="AH2931" s="93"/>
      <c r="AI2931" s="93"/>
      <c r="AJ2931" s="93"/>
    </row>
    <row r="2932" spans="30:36" ht="18">
      <c r="AD2932" s="93"/>
      <c r="AE2932" s="214"/>
      <c r="AF2932" s="93"/>
      <c r="AG2932" s="93"/>
      <c r="AH2932" s="93"/>
      <c r="AI2932" s="93"/>
      <c r="AJ2932" s="93"/>
    </row>
    <row r="2933" spans="30:36" ht="18">
      <c r="AD2933" s="93"/>
      <c r="AE2933" s="214"/>
      <c r="AF2933" s="93"/>
      <c r="AG2933" s="93"/>
      <c r="AH2933" s="93"/>
      <c r="AI2933" s="93"/>
      <c r="AJ2933" s="93"/>
    </row>
    <row r="2934" spans="30:36" ht="18">
      <c r="AD2934" s="93"/>
      <c r="AE2934" s="214"/>
      <c r="AF2934" s="93"/>
      <c r="AG2934" s="93"/>
      <c r="AH2934" s="93"/>
      <c r="AI2934" s="93"/>
      <c r="AJ2934" s="93"/>
    </row>
    <row r="2935" spans="30:36" ht="18">
      <c r="AD2935" s="93"/>
      <c r="AE2935" s="215"/>
      <c r="AF2935" s="93"/>
      <c r="AG2935" s="93"/>
      <c r="AH2935" s="93"/>
      <c r="AI2935" s="93"/>
      <c r="AJ2935" s="93"/>
    </row>
    <row r="2936" spans="30:36" ht="18">
      <c r="AD2936" s="93"/>
      <c r="AE2936" s="214"/>
      <c r="AF2936" s="93"/>
      <c r="AG2936" s="93"/>
      <c r="AH2936" s="93"/>
      <c r="AI2936" s="93"/>
      <c r="AJ2936" s="93"/>
    </row>
    <row r="2937" spans="30:36" ht="18">
      <c r="AD2937" s="93"/>
      <c r="AE2937" s="214"/>
      <c r="AF2937" s="93"/>
      <c r="AG2937" s="93"/>
      <c r="AH2937" s="93"/>
      <c r="AI2937" s="93"/>
      <c r="AJ2937" s="93"/>
    </row>
    <row r="2938" spans="30:36" ht="18">
      <c r="AD2938" s="93"/>
      <c r="AE2938" s="214"/>
      <c r="AF2938" s="93"/>
      <c r="AG2938" s="93"/>
      <c r="AH2938" s="93"/>
      <c r="AI2938" s="93"/>
      <c r="AJ2938" s="93"/>
    </row>
    <row r="2939" spans="30:36" ht="18">
      <c r="AD2939" s="93"/>
      <c r="AE2939" s="214"/>
      <c r="AF2939" s="93"/>
      <c r="AG2939" s="93"/>
      <c r="AH2939" s="93"/>
      <c r="AI2939" s="93"/>
      <c r="AJ2939" s="93"/>
    </row>
    <row r="2940" spans="30:36" ht="18">
      <c r="AD2940" s="93"/>
      <c r="AE2940" s="214"/>
      <c r="AF2940" s="93"/>
      <c r="AG2940" s="93"/>
      <c r="AH2940" s="93"/>
      <c r="AI2940" s="93"/>
      <c r="AJ2940" s="93"/>
    </row>
    <row r="2941" spans="30:36" ht="18">
      <c r="AD2941" s="93"/>
      <c r="AE2941" s="214"/>
      <c r="AF2941" s="93"/>
      <c r="AG2941" s="93"/>
      <c r="AH2941" s="93"/>
      <c r="AI2941" s="93"/>
      <c r="AJ2941" s="93"/>
    </row>
    <row r="2942" spans="30:36" ht="18">
      <c r="AD2942" s="93"/>
      <c r="AE2942" s="214"/>
      <c r="AF2942" s="93"/>
      <c r="AG2942" s="93"/>
      <c r="AH2942" s="93"/>
      <c r="AI2942" s="93"/>
      <c r="AJ2942" s="93"/>
    </row>
    <row r="2943" spans="30:36" ht="18">
      <c r="AD2943" s="93"/>
      <c r="AE2943" s="214"/>
      <c r="AF2943" s="93"/>
      <c r="AG2943" s="93"/>
      <c r="AH2943" s="93"/>
      <c r="AI2943" s="93"/>
      <c r="AJ2943" s="93"/>
    </row>
    <row r="2944" spans="30:36" ht="18">
      <c r="AD2944" s="93"/>
      <c r="AE2944" s="214"/>
      <c r="AF2944" s="93"/>
      <c r="AG2944" s="93"/>
      <c r="AH2944" s="93"/>
      <c r="AI2944" s="93"/>
      <c r="AJ2944" s="93"/>
    </row>
    <row r="2945" spans="30:36" ht="18">
      <c r="AD2945" s="93"/>
      <c r="AE2945" s="215"/>
      <c r="AF2945" s="93"/>
      <c r="AG2945" s="93"/>
      <c r="AH2945" s="93"/>
      <c r="AI2945" s="93"/>
      <c r="AJ2945" s="93"/>
    </row>
    <row r="2946" spans="30:36" ht="18">
      <c r="AD2946" s="93"/>
      <c r="AE2946" s="214"/>
      <c r="AF2946" s="93"/>
      <c r="AG2946" s="93"/>
      <c r="AH2946" s="93"/>
      <c r="AI2946" s="93"/>
      <c r="AJ2946" s="93"/>
    </row>
    <row r="2947" spans="30:36" ht="18">
      <c r="AD2947" s="93"/>
      <c r="AE2947" s="214"/>
      <c r="AF2947" s="93"/>
      <c r="AG2947" s="93"/>
      <c r="AH2947" s="93"/>
      <c r="AI2947" s="93"/>
      <c r="AJ2947" s="93"/>
    </row>
    <row r="2948" spans="30:36" ht="18">
      <c r="AD2948" s="93"/>
      <c r="AE2948" s="214"/>
      <c r="AF2948" s="93"/>
      <c r="AG2948" s="93"/>
      <c r="AH2948" s="93"/>
      <c r="AI2948" s="93"/>
      <c r="AJ2948" s="93"/>
    </row>
    <row r="2949" spans="30:36" ht="18">
      <c r="AD2949" s="93"/>
      <c r="AE2949" s="214"/>
      <c r="AF2949" s="93"/>
      <c r="AG2949" s="93"/>
      <c r="AH2949" s="93"/>
      <c r="AI2949" s="93"/>
      <c r="AJ2949" s="93"/>
    </row>
    <row r="2950" spans="30:36" ht="18">
      <c r="AD2950" s="93"/>
      <c r="AE2950" s="215"/>
      <c r="AF2950" s="93"/>
      <c r="AG2950" s="93"/>
      <c r="AH2950" s="93"/>
      <c r="AI2950" s="93"/>
      <c r="AJ2950" s="93"/>
    </row>
    <row r="2951" spans="30:36" ht="18">
      <c r="AD2951" s="93"/>
      <c r="AE2951" s="214"/>
      <c r="AF2951" s="93"/>
      <c r="AG2951" s="93"/>
      <c r="AH2951" s="93"/>
      <c r="AI2951" s="93"/>
      <c r="AJ2951" s="93"/>
    </row>
    <row r="2952" spans="30:36" ht="18">
      <c r="AD2952" s="93"/>
      <c r="AE2952" s="214"/>
      <c r="AF2952" s="93"/>
      <c r="AG2952" s="93"/>
      <c r="AH2952" s="93"/>
      <c r="AI2952" s="93"/>
      <c r="AJ2952" s="93"/>
    </row>
    <row r="2953" spans="30:36" ht="18">
      <c r="AD2953" s="93"/>
      <c r="AE2953" s="214"/>
      <c r="AF2953" s="93"/>
      <c r="AG2953" s="93"/>
      <c r="AH2953" s="93"/>
      <c r="AI2953" s="93"/>
      <c r="AJ2953" s="93"/>
    </row>
    <row r="2954" spans="30:36" ht="18">
      <c r="AD2954" s="93"/>
      <c r="AE2954" s="214"/>
      <c r="AF2954" s="93"/>
      <c r="AG2954" s="93"/>
      <c r="AH2954" s="93"/>
      <c r="AI2954" s="93"/>
      <c r="AJ2954" s="93"/>
    </row>
    <row r="2955" spans="30:36" ht="18">
      <c r="AD2955" s="93"/>
      <c r="AE2955" s="215"/>
      <c r="AF2955" s="93"/>
      <c r="AG2955" s="93"/>
      <c r="AH2955" s="93"/>
      <c r="AI2955" s="93"/>
      <c r="AJ2955" s="93"/>
    </row>
    <row r="2956" spans="30:36" ht="18">
      <c r="AD2956" s="93"/>
      <c r="AE2956" s="214"/>
      <c r="AF2956" s="93"/>
      <c r="AG2956" s="93"/>
      <c r="AH2956" s="93"/>
      <c r="AI2956" s="93"/>
      <c r="AJ2956" s="93"/>
    </row>
    <row r="2957" spans="30:36" ht="18">
      <c r="AD2957" s="93"/>
      <c r="AE2957" s="214"/>
      <c r="AF2957" s="93"/>
      <c r="AG2957" s="93"/>
      <c r="AH2957" s="93"/>
      <c r="AI2957" s="93"/>
      <c r="AJ2957" s="93"/>
    </row>
    <row r="2958" spans="30:36" ht="18">
      <c r="AD2958" s="93"/>
      <c r="AE2958" s="214"/>
      <c r="AF2958" s="93"/>
      <c r="AG2958" s="93"/>
      <c r="AH2958" s="93"/>
      <c r="AI2958" s="93"/>
      <c r="AJ2958" s="93"/>
    </row>
    <row r="2959" spans="30:36" ht="18">
      <c r="AD2959" s="93"/>
      <c r="AE2959" s="214"/>
      <c r="AF2959" s="93"/>
      <c r="AG2959" s="93"/>
      <c r="AH2959" s="93"/>
      <c r="AI2959" s="93"/>
      <c r="AJ2959" s="93"/>
    </row>
    <row r="2960" spans="30:36" ht="18">
      <c r="AD2960" s="93"/>
      <c r="AE2960" s="215"/>
      <c r="AF2960" s="93"/>
      <c r="AG2960" s="93"/>
      <c r="AH2960" s="93"/>
      <c r="AI2960" s="93"/>
      <c r="AJ2960" s="93"/>
    </row>
    <row r="2961" spans="30:36" ht="18">
      <c r="AD2961" s="93"/>
      <c r="AE2961" s="214"/>
      <c r="AF2961" s="93"/>
      <c r="AG2961" s="93"/>
      <c r="AH2961" s="93"/>
      <c r="AI2961" s="93"/>
      <c r="AJ2961" s="93"/>
    </row>
    <row r="2962" spans="30:36" ht="18">
      <c r="AD2962" s="93"/>
      <c r="AE2962" s="214"/>
      <c r="AF2962" s="93"/>
      <c r="AG2962" s="93"/>
      <c r="AH2962" s="93"/>
      <c r="AI2962" s="93"/>
      <c r="AJ2962" s="93"/>
    </row>
    <row r="2963" spans="30:36" ht="18">
      <c r="AD2963" s="93"/>
      <c r="AE2963" s="215"/>
      <c r="AF2963" s="93"/>
      <c r="AG2963" s="93"/>
      <c r="AH2963" s="93"/>
      <c r="AI2963" s="93"/>
      <c r="AJ2963" s="93"/>
    </row>
    <row r="2964" spans="30:36" ht="18">
      <c r="AD2964" s="93"/>
      <c r="AE2964" s="214"/>
      <c r="AF2964" s="93"/>
      <c r="AG2964" s="93"/>
      <c r="AH2964" s="93"/>
      <c r="AI2964" s="93"/>
      <c r="AJ2964" s="93"/>
    </row>
    <row r="2965" spans="30:36" ht="18">
      <c r="AD2965" s="93"/>
      <c r="AE2965" s="214"/>
      <c r="AF2965" s="93"/>
      <c r="AG2965" s="93"/>
      <c r="AH2965" s="93"/>
      <c r="AI2965" s="93"/>
      <c r="AJ2965" s="93"/>
    </row>
    <row r="2966" spans="30:36" ht="18">
      <c r="AD2966" s="93"/>
      <c r="AE2966" s="214"/>
      <c r="AF2966" s="93"/>
      <c r="AG2966" s="93"/>
      <c r="AH2966" s="93"/>
      <c r="AI2966" s="93"/>
      <c r="AJ2966" s="93"/>
    </row>
    <row r="2967" spans="30:36" ht="18">
      <c r="AD2967" s="93"/>
      <c r="AE2967" s="214"/>
      <c r="AF2967" s="93"/>
      <c r="AG2967" s="93"/>
      <c r="AH2967" s="93"/>
      <c r="AI2967" s="93"/>
      <c r="AJ2967" s="93"/>
    </row>
    <row r="2968" spans="30:36" ht="18">
      <c r="AD2968" s="93"/>
      <c r="AE2968" s="214"/>
      <c r="AF2968" s="93"/>
      <c r="AG2968" s="93"/>
      <c r="AH2968" s="93"/>
      <c r="AI2968" s="93"/>
      <c r="AJ2968" s="93"/>
    </row>
    <row r="2969" spans="30:36" ht="18">
      <c r="AD2969" s="93"/>
      <c r="AE2969" s="214"/>
      <c r="AF2969" s="93"/>
      <c r="AG2969" s="93"/>
      <c r="AH2969" s="93"/>
      <c r="AI2969" s="93"/>
      <c r="AJ2969" s="93"/>
    </row>
    <row r="2970" spans="30:36" ht="18">
      <c r="AD2970" s="93"/>
      <c r="AE2970" s="214"/>
      <c r="AF2970" s="93"/>
      <c r="AG2970" s="93"/>
      <c r="AH2970" s="93"/>
      <c r="AI2970" s="93"/>
      <c r="AJ2970" s="93"/>
    </row>
    <row r="2971" spans="30:36" ht="18">
      <c r="AD2971" s="93"/>
      <c r="AE2971" s="214"/>
      <c r="AF2971" s="93"/>
      <c r="AG2971" s="93"/>
      <c r="AH2971" s="93"/>
      <c r="AI2971" s="93"/>
      <c r="AJ2971" s="93"/>
    </row>
    <row r="2972" spans="30:36" ht="18">
      <c r="AD2972" s="93"/>
      <c r="AE2972" s="214"/>
      <c r="AF2972" s="93"/>
      <c r="AG2972" s="93"/>
      <c r="AH2972" s="93"/>
      <c r="AI2972" s="93"/>
      <c r="AJ2972" s="93"/>
    </row>
    <row r="2973" spans="30:36" ht="18">
      <c r="AD2973" s="93"/>
      <c r="AE2973" s="215"/>
      <c r="AF2973" s="93"/>
      <c r="AG2973" s="93"/>
      <c r="AH2973" s="93"/>
      <c r="AI2973" s="93"/>
      <c r="AJ2973" s="93"/>
    </row>
    <row r="2974" spans="30:36" ht="18">
      <c r="AD2974" s="93"/>
      <c r="AE2974" s="214"/>
      <c r="AF2974" s="93"/>
      <c r="AG2974" s="93"/>
      <c r="AH2974" s="93"/>
      <c r="AI2974" s="93"/>
      <c r="AJ2974" s="93"/>
    </row>
    <row r="2975" spans="30:36" ht="18">
      <c r="AD2975" s="93"/>
      <c r="AE2975" s="214"/>
      <c r="AF2975" s="93"/>
      <c r="AG2975" s="93"/>
      <c r="AH2975" s="93"/>
      <c r="AI2975" s="93"/>
      <c r="AJ2975" s="93"/>
    </row>
    <row r="2976" spans="30:36" ht="18">
      <c r="AD2976" s="93"/>
      <c r="AE2976" s="214"/>
      <c r="AF2976" s="93"/>
      <c r="AG2976" s="93"/>
      <c r="AH2976" s="93"/>
      <c r="AI2976" s="93"/>
      <c r="AJ2976" s="93"/>
    </row>
    <row r="2977" spans="30:36" ht="18">
      <c r="AD2977" s="93"/>
      <c r="AE2977" s="214"/>
      <c r="AF2977" s="93"/>
      <c r="AG2977" s="93"/>
      <c r="AH2977" s="93"/>
      <c r="AI2977" s="93"/>
      <c r="AJ2977" s="93"/>
    </row>
    <row r="2978" spans="30:36" ht="18">
      <c r="AD2978" s="93"/>
      <c r="AE2978" s="215"/>
      <c r="AF2978" s="93"/>
      <c r="AG2978" s="93"/>
      <c r="AH2978" s="93"/>
      <c r="AI2978" s="93"/>
      <c r="AJ2978" s="93"/>
    </row>
    <row r="2979" spans="30:36" ht="18">
      <c r="AD2979" s="93"/>
      <c r="AE2979" s="214"/>
      <c r="AF2979" s="93"/>
      <c r="AG2979" s="93"/>
      <c r="AH2979" s="93"/>
      <c r="AI2979" s="93"/>
      <c r="AJ2979" s="93"/>
    </row>
    <row r="2980" spans="30:36" ht="18">
      <c r="AD2980" s="93"/>
      <c r="AE2980" s="214"/>
      <c r="AF2980" s="93"/>
      <c r="AG2980" s="93"/>
      <c r="AH2980" s="93"/>
      <c r="AI2980" s="93"/>
      <c r="AJ2980" s="93"/>
    </row>
    <row r="2981" spans="30:36" ht="18">
      <c r="AD2981" s="93"/>
      <c r="AE2981" s="214"/>
      <c r="AF2981" s="93"/>
      <c r="AG2981" s="93"/>
      <c r="AH2981" s="93"/>
      <c r="AI2981" s="93"/>
      <c r="AJ2981" s="93"/>
    </row>
    <row r="2982" spans="30:36" ht="18">
      <c r="AD2982" s="93"/>
      <c r="AE2982" s="214"/>
      <c r="AF2982" s="93"/>
      <c r="AG2982" s="93"/>
      <c r="AH2982" s="93"/>
      <c r="AI2982" s="93"/>
      <c r="AJ2982" s="93"/>
    </row>
    <row r="2983" spans="30:36" ht="18">
      <c r="AD2983" s="93"/>
      <c r="AE2983" s="215"/>
      <c r="AF2983" s="93"/>
      <c r="AG2983" s="93"/>
      <c r="AH2983" s="93"/>
      <c r="AI2983" s="93"/>
      <c r="AJ2983" s="93"/>
    </row>
    <row r="2984" spans="30:36" ht="18">
      <c r="AD2984" s="93"/>
      <c r="AE2984" s="214"/>
      <c r="AF2984" s="93"/>
      <c r="AG2984" s="93"/>
      <c r="AH2984" s="93"/>
      <c r="AI2984" s="93"/>
      <c r="AJ2984" s="93"/>
    </row>
    <row r="2985" spans="30:36" ht="18">
      <c r="AD2985" s="93"/>
      <c r="AE2985" s="214"/>
      <c r="AF2985" s="93"/>
      <c r="AG2985" s="93"/>
      <c r="AH2985" s="93"/>
      <c r="AI2985" s="93"/>
      <c r="AJ2985" s="93"/>
    </row>
    <row r="2986" spans="30:36" ht="18">
      <c r="AD2986" s="93"/>
      <c r="AE2986" s="215"/>
      <c r="AF2986" s="93"/>
      <c r="AG2986" s="93"/>
      <c r="AH2986" s="93"/>
      <c r="AI2986" s="93"/>
      <c r="AJ2986" s="93"/>
    </row>
    <row r="2987" spans="30:36" ht="18">
      <c r="AD2987" s="93"/>
      <c r="AE2987" s="214"/>
      <c r="AF2987" s="93"/>
      <c r="AG2987" s="93"/>
      <c r="AH2987" s="93"/>
      <c r="AI2987" s="93"/>
      <c r="AJ2987" s="93"/>
    </row>
    <row r="2988" spans="30:36" ht="18">
      <c r="AD2988" s="93"/>
      <c r="AE2988" s="214"/>
      <c r="AF2988" s="93"/>
      <c r="AG2988" s="93"/>
      <c r="AH2988" s="93"/>
      <c r="AI2988" s="93"/>
      <c r="AJ2988" s="93"/>
    </row>
    <row r="2989" spans="30:36" ht="18">
      <c r="AD2989" s="93"/>
      <c r="AE2989" s="214"/>
      <c r="AF2989" s="93"/>
      <c r="AG2989" s="93"/>
      <c r="AH2989" s="93"/>
      <c r="AI2989" s="93"/>
      <c r="AJ2989" s="93"/>
    </row>
    <row r="2990" spans="30:36" ht="18">
      <c r="AD2990" s="93"/>
      <c r="AE2990" s="214"/>
      <c r="AF2990" s="93"/>
      <c r="AG2990" s="93"/>
      <c r="AH2990" s="93"/>
      <c r="AI2990" s="93"/>
      <c r="AJ2990" s="93"/>
    </row>
    <row r="2991" spans="30:36" ht="18">
      <c r="AD2991" s="93"/>
      <c r="AE2991" s="215"/>
      <c r="AF2991" s="93"/>
      <c r="AG2991" s="93"/>
      <c r="AH2991" s="93"/>
      <c r="AI2991" s="93"/>
      <c r="AJ2991" s="93"/>
    </row>
    <row r="2992" spans="30:36" ht="18">
      <c r="AD2992" s="93"/>
      <c r="AE2992" s="214"/>
      <c r="AF2992" s="93"/>
      <c r="AG2992" s="93"/>
      <c r="AH2992" s="93"/>
      <c r="AI2992" s="93"/>
      <c r="AJ2992" s="93"/>
    </row>
    <row r="2993" spans="30:36" ht="18">
      <c r="AD2993" s="93"/>
      <c r="AE2993" s="214"/>
      <c r="AF2993" s="93"/>
      <c r="AG2993" s="93"/>
      <c r="AH2993" s="93"/>
      <c r="AI2993" s="93"/>
      <c r="AJ2993" s="93"/>
    </row>
    <row r="2994" spans="30:36" ht="18">
      <c r="AD2994" s="93"/>
      <c r="AE2994" s="214"/>
      <c r="AF2994" s="93"/>
      <c r="AG2994" s="93"/>
      <c r="AH2994" s="93"/>
      <c r="AI2994" s="93"/>
      <c r="AJ2994" s="93"/>
    </row>
    <row r="2995" spans="30:36" ht="18">
      <c r="AD2995" s="93"/>
      <c r="AE2995" s="214"/>
      <c r="AF2995" s="93"/>
      <c r="AG2995" s="93"/>
      <c r="AH2995" s="93"/>
      <c r="AI2995" s="93"/>
      <c r="AJ2995" s="93"/>
    </row>
    <row r="2996" spans="30:36" ht="18">
      <c r="AD2996" s="93"/>
      <c r="AE2996" s="215"/>
      <c r="AF2996" s="93"/>
      <c r="AG2996" s="93"/>
      <c r="AH2996" s="93"/>
      <c r="AI2996" s="93"/>
      <c r="AJ2996" s="93"/>
    </row>
    <row r="2997" spans="30:36" ht="18">
      <c r="AD2997" s="93"/>
      <c r="AE2997" s="214"/>
      <c r="AF2997" s="93"/>
      <c r="AG2997" s="93"/>
      <c r="AH2997" s="93"/>
      <c r="AI2997" s="93"/>
      <c r="AJ2997" s="93"/>
    </row>
    <row r="2998" spans="30:36" ht="18">
      <c r="AD2998" s="93"/>
      <c r="AE2998" s="214"/>
      <c r="AF2998" s="93"/>
      <c r="AG2998" s="93"/>
      <c r="AH2998" s="93"/>
      <c r="AI2998" s="93"/>
      <c r="AJ2998" s="93"/>
    </row>
    <row r="2999" spans="30:36" ht="18">
      <c r="AD2999" s="93"/>
      <c r="AE2999" s="214"/>
      <c r="AF2999" s="93"/>
      <c r="AG2999" s="93"/>
      <c r="AH2999" s="93"/>
      <c r="AI2999" s="93"/>
      <c r="AJ2999" s="93"/>
    </row>
    <row r="3000" spans="30:36" ht="18">
      <c r="AD3000" s="93"/>
      <c r="AE3000" s="214"/>
      <c r="AF3000" s="93"/>
      <c r="AG3000" s="93"/>
      <c r="AH3000" s="93"/>
      <c r="AI3000" s="93"/>
      <c r="AJ3000" s="93"/>
    </row>
    <row r="3001" spans="30:36" ht="18">
      <c r="AD3001" s="93"/>
      <c r="AE3001" s="215"/>
      <c r="AF3001" s="93"/>
      <c r="AG3001" s="93"/>
      <c r="AH3001" s="93"/>
      <c r="AI3001" s="93"/>
      <c r="AJ3001" s="93"/>
    </row>
    <row r="3002" spans="30:36" ht="18">
      <c r="AD3002" s="93"/>
      <c r="AE3002" s="214"/>
      <c r="AF3002" s="93"/>
      <c r="AG3002" s="93"/>
      <c r="AH3002" s="93"/>
      <c r="AI3002" s="93"/>
      <c r="AJ3002" s="93"/>
    </row>
    <row r="3003" spans="30:36" ht="18">
      <c r="AD3003" s="93"/>
      <c r="AE3003" s="214"/>
      <c r="AF3003" s="93"/>
      <c r="AG3003" s="93"/>
      <c r="AH3003" s="93"/>
      <c r="AI3003" s="93"/>
      <c r="AJ3003" s="93"/>
    </row>
    <row r="3004" spans="30:36" ht="18">
      <c r="AD3004" s="93"/>
      <c r="AE3004" s="214"/>
      <c r="AF3004" s="93"/>
      <c r="AG3004" s="93"/>
      <c r="AH3004" s="93"/>
      <c r="AI3004" s="93"/>
      <c r="AJ3004" s="93"/>
    </row>
    <row r="3005" spans="30:36" ht="18">
      <c r="AD3005" s="93"/>
      <c r="AE3005" s="214"/>
      <c r="AF3005" s="93"/>
      <c r="AG3005" s="93"/>
      <c r="AH3005" s="93"/>
      <c r="AI3005" s="93"/>
      <c r="AJ3005" s="93"/>
    </row>
    <row r="3006" spans="30:36" ht="18">
      <c r="AD3006" s="93"/>
      <c r="AE3006" s="215"/>
      <c r="AF3006" s="93"/>
      <c r="AG3006" s="93"/>
      <c r="AH3006" s="93"/>
      <c r="AI3006" s="93"/>
      <c r="AJ3006" s="93"/>
    </row>
    <row r="3007" spans="30:36" ht="18">
      <c r="AD3007" s="93"/>
      <c r="AE3007" s="214"/>
      <c r="AF3007" s="93"/>
      <c r="AG3007" s="93"/>
      <c r="AH3007" s="93"/>
      <c r="AI3007" s="93"/>
      <c r="AJ3007" s="93"/>
    </row>
    <row r="3008" spans="30:36" ht="18">
      <c r="AD3008" s="93"/>
      <c r="AE3008" s="214"/>
      <c r="AF3008" s="93"/>
      <c r="AG3008" s="93"/>
      <c r="AH3008" s="93"/>
      <c r="AI3008" s="93"/>
      <c r="AJ3008" s="93"/>
    </row>
    <row r="3009" spans="30:36" ht="18">
      <c r="AD3009" s="93"/>
      <c r="AE3009" s="214"/>
      <c r="AF3009" s="93"/>
      <c r="AG3009" s="93"/>
      <c r="AH3009" s="93"/>
      <c r="AI3009" s="93"/>
      <c r="AJ3009" s="93"/>
    </row>
    <row r="3010" spans="30:36" ht="18">
      <c r="AD3010" s="93"/>
      <c r="AE3010" s="214"/>
      <c r="AF3010" s="93"/>
      <c r="AG3010" s="93"/>
      <c r="AH3010" s="93"/>
      <c r="AI3010" s="93"/>
      <c r="AJ3010" s="93"/>
    </row>
    <row r="3011" spans="30:36" ht="18">
      <c r="AD3011" s="93"/>
      <c r="AE3011" s="215"/>
      <c r="AF3011" s="93"/>
      <c r="AG3011" s="93"/>
      <c r="AH3011" s="93"/>
      <c r="AI3011" s="93"/>
      <c r="AJ3011" s="93"/>
    </row>
    <row r="3012" spans="30:36" ht="18">
      <c r="AD3012" s="93"/>
      <c r="AE3012" s="214"/>
      <c r="AF3012" s="93"/>
      <c r="AG3012" s="93"/>
      <c r="AH3012" s="93"/>
      <c r="AI3012" s="93"/>
      <c r="AJ3012" s="93"/>
    </row>
    <row r="3013" spans="30:36" ht="18">
      <c r="AD3013" s="93"/>
      <c r="AE3013" s="214"/>
      <c r="AF3013" s="93"/>
      <c r="AG3013" s="93"/>
      <c r="AH3013" s="93"/>
      <c r="AI3013" s="93"/>
      <c r="AJ3013" s="93"/>
    </row>
    <row r="3014" spans="30:36" ht="18">
      <c r="AD3014" s="93"/>
      <c r="AE3014" s="214"/>
      <c r="AF3014" s="93"/>
      <c r="AG3014" s="93"/>
      <c r="AH3014" s="93"/>
      <c r="AI3014" s="93"/>
      <c r="AJ3014" s="93"/>
    </row>
    <row r="3015" spans="30:36" ht="18">
      <c r="AD3015" s="93"/>
      <c r="AE3015" s="214"/>
      <c r="AF3015" s="93"/>
      <c r="AG3015" s="93"/>
      <c r="AH3015" s="93"/>
      <c r="AI3015" s="93"/>
      <c r="AJ3015" s="93"/>
    </row>
    <row r="3016" spans="30:36" ht="18">
      <c r="AD3016" s="93"/>
      <c r="AE3016" s="215"/>
      <c r="AF3016" s="93"/>
      <c r="AG3016" s="93"/>
      <c r="AH3016" s="93"/>
      <c r="AI3016" s="93"/>
      <c r="AJ3016" s="93"/>
    </row>
    <row r="3017" spans="30:36" ht="18">
      <c r="AD3017" s="93"/>
      <c r="AE3017" s="214"/>
      <c r="AF3017" s="93"/>
      <c r="AG3017" s="93"/>
      <c r="AH3017" s="93"/>
      <c r="AI3017" s="93"/>
      <c r="AJ3017" s="93"/>
    </row>
    <row r="3018" spans="30:36" ht="18">
      <c r="AD3018" s="93"/>
      <c r="AE3018" s="214"/>
      <c r="AF3018" s="93"/>
      <c r="AG3018" s="93"/>
      <c r="AH3018" s="93"/>
      <c r="AI3018" s="93"/>
      <c r="AJ3018" s="93"/>
    </row>
    <row r="3019" spans="30:36" ht="18">
      <c r="AD3019" s="93"/>
      <c r="AE3019" s="214"/>
      <c r="AF3019" s="93"/>
      <c r="AG3019" s="93"/>
      <c r="AH3019" s="93"/>
      <c r="AI3019" s="93"/>
      <c r="AJ3019" s="93"/>
    </row>
    <row r="3020" spans="30:36" ht="18">
      <c r="AD3020" s="93"/>
      <c r="AE3020" s="214"/>
      <c r="AF3020" s="93"/>
      <c r="AG3020" s="93"/>
      <c r="AH3020" s="93"/>
      <c r="AI3020" s="93"/>
      <c r="AJ3020" s="93"/>
    </row>
    <row r="3021" spans="30:36" ht="18">
      <c r="AD3021" s="93"/>
      <c r="AE3021" s="215"/>
      <c r="AF3021" s="93"/>
      <c r="AG3021" s="93"/>
      <c r="AH3021" s="93"/>
      <c r="AI3021" s="93"/>
      <c r="AJ3021" s="93"/>
    </row>
    <row r="3022" spans="30:36" ht="18">
      <c r="AD3022" s="93"/>
      <c r="AE3022" s="215"/>
      <c r="AF3022" s="93"/>
      <c r="AG3022" s="93"/>
      <c r="AH3022" s="93"/>
      <c r="AI3022" s="93"/>
      <c r="AJ3022" s="93"/>
    </row>
    <row r="3023" spans="30:36" ht="18">
      <c r="AD3023" s="93"/>
      <c r="AE3023" s="214"/>
      <c r="AF3023" s="93"/>
      <c r="AG3023" s="93"/>
      <c r="AH3023" s="93"/>
      <c r="AI3023" s="93"/>
      <c r="AJ3023" s="93"/>
    </row>
    <row r="3024" spans="30:36" ht="18">
      <c r="AD3024" s="93"/>
      <c r="AE3024" s="214"/>
      <c r="AF3024" s="93"/>
      <c r="AG3024" s="93"/>
      <c r="AH3024" s="93"/>
      <c r="AI3024" s="93"/>
      <c r="AJ3024" s="93"/>
    </row>
    <row r="3025" spans="30:36" ht="18">
      <c r="AD3025" s="93"/>
      <c r="AE3025" s="215"/>
      <c r="AF3025" s="93"/>
      <c r="AG3025" s="93"/>
      <c r="AH3025" s="93"/>
      <c r="AI3025" s="93"/>
      <c r="AJ3025" s="93"/>
    </row>
    <row r="3026" spans="30:36" ht="18">
      <c r="AD3026" s="93"/>
      <c r="AE3026" s="214"/>
      <c r="AF3026" s="93"/>
      <c r="AG3026" s="93"/>
      <c r="AH3026" s="93"/>
      <c r="AI3026" s="93"/>
      <c r="AJ3026" s="93"/>
    </row>
    <row r="3027" spans="30:36" ht="18">
      <c r="AD3027" s="93"/>
      <c r="AE3027" s="214"/>
      <c r="AF3027" s="93"/>
      <c r="AG3027" s="93"/>
      <c r="AH3027" s="93"/>
      <c r="AI3027" s="93"/>
      <c r="AJ3027" s="93"/>
    </row>
    <row r="3028" spans="30:36" ht="18">
      <c r="AD3028" s="93"/>
      <c r="AE3028" s="214"/>
      <c r="AF3028" s="93"/>
      <c r="AG3028" s="93"/>
      <c r="AH3028" s="93"/>
      <c r="AI3028" s="93"/>
      <c r="AJ3028" s="93"/>
    </row>
    <row r="3029" spans="30:36" ht="18">
      <c r="AD3029" s="93"/>
      <c r="AE3029" s="214"/>
      <c r="AF3029" s="93"/>
      <c r="AG3029" s="93"/>
      <c r="AH3029" s="93"/>
      <c r="AI3029" s="93"/>
      <c r="AJ3029" s="93"/>
    </row>
    <row r="3030" spans="30:36" ht="18">
      <c r="AD3030" s="93"/>
      <c r="AE3030" s="214"/>
      <c r="AF3030" s="93"/>
      <c r="AG3030" s="93"/>
      <c r="AH3030" s="93"/>
      <c r="AI3030" s="93"/>
      <c r="AJ3030" s="93"/>
    </row>
    <row r="3031" spans="30:36" ht="18">
      <c r="AD3031" s="93"/>
      <c r="AE3031" s="214"/>
      <c r="AF3031" s="93"/>
      <c r="AG3031" s="93"/>
      <c r="AH3031" s="93"/>
      <c r="AI3031" s="93"/>
      <c r="AJ3031" s="93"/>
    </row>
    <row r="3032" spans="30:36" ht="18">
      <c r="AD3032" s="93"/>
      <c r="AE3032" s="214"/>
      <c r="AF3032" s="93"/>
      <c r="AG3032" s="93"/>
      <c r="AH3032" s="93"/>
      <c r="AI3032" s="93"/>
      <c r="AJ3032" s="93"/>
    </row>
    <row r="3033" spans="30:36" ht="18">
      <c r="AD3033" s="93"/>
      <c r="AE3033" s="214"/>
      <c r="AF3033" s="93"/>
      <c r="AG3033" s="93"/>
      <c r="AH3033" s="93"/>
      <c r="AI3033" s="93"/>
      <c r="AJ3033" s="93"/>
    </row>
    <row r="3034" spans="30:36" ht="18">
      <c r="AD3034" s="93"/>
      <c r="AE3034" s="215"/>
      <c r="AF3034" s="93"/>
      <c r="AG3034" s="93"/>
      <c r="AH3034" s="93"/>
      <c r="AI3034" s="93"/>
      <c r="AJ3034" s="93"/>
    </row>
    <row r="3035" spans="30:36" ht="18">
      <c r="AD3035" s="93"/>
      <c r="AE3035" s="215"/>
      <c r="AF3035" s="93"/>
      <c r="AG3035" s="93"/>
      <c r="AH3035" s="93"/>
      <c r="AI3035" s="93"/>
      <c r="AJ3035" s="93"/>
    </row>
    <row r="3036" spans="30:36" ht="18">
      <c r="AD3036" s="93"/>
      <c r="AE3036" s="215"/>
      <c r="AF3036" s="93"/>
      <c r="AG3036" s="93"/>
      <c r="AH3036" s="93"/>
      <c r="AI3036" s="93"/>
      <c r="AJ3036" s="93"/>
    </row>
    <row r="3037" spans="30:36" ht="18">
      <c r="AD3037" s="93"/>
      <c r="AE3037" s="214"/>
      <c r="AF3037" s="93"/>
      <c r="AG3037" s="93"/>
      <c r="AH3037" s="93"/>
      <c r="AI3037" s="93"/>
      <c r="AJ3037" s="93"/>
    </row>
    <row r="3038" spans="30:36" ht="18">
      <c r="AD3038" s="93"/>
      <c r="AE3038" s="214"/>
      <c r="AF3038" s="93"/>
      <c r="AG3038" s="93"/>
      <c r="AH3038" s="93"/>
      <c r="AI3038" s="93"/>
      <c r="AJ3038" s="93"/>
    </row>
    <row r="3039" spans="30:36" ht="18">
      <c r="AD3039" s="93"/>
      <c r="AE3039" s="214"/>
      <c r="AF3039" s="93"/>
      <c r="AG3039" s="93"/>
      <c r="AH3039" s="93"/>
      <c r="AI3039" s="93"/>
      <c r="AJ3039" s="93"/>
    </row>
    <row r="3040" spans="30:36" ht="18">
      <c r="AD3040" s="93"/>
      <c r="AE3040" s="214"/>
      <c r="AF3040" s="93"/>
      <c r="AG3040" s="93"/>
      <c r="AH3040" s="93"/>
      <c r="AI3040" s="93"/>
      <c r="AJ3040" s="93"/>
    </row>
    <row r="3041" spans="30:36" ht="18">
      <c r="AD3041" s="93"/>
      <c r="AE3041" s="215"/>
      <c r="AF3041" s="93"/>
      <c r="AG3041" s="93"/>
      <c r="AH3041" s="93"/>
      <c r="AI3041" s="93"/>
      <c r="AJ3041" s="93"/>
    </row>
    <row r="3042" spans="30:36" ht="18">
      <c r="AD3042" s="93"/>
      <c r="AE3042" s="214"/>
      <c r="AF3042" s="93"/>
      <c r="AG3042" s="93"/>
      <c r="AH3042" s="93"/>
      <c r="AI3042" s="93"/>
      <c r="AJ3042" s="93"/>
    </row>
    <row r="3043" spans="30:36" ht="18">
      <c r="AD3043" s="93"/>
      <c r="AE3043" s="214"/>
      <c r="AF3043" s="93"/>
      <c r="AG3043" s="93"/>
      <c r="AH3043" s="93"/>
      <c r="AI3043" s="93"/>
      <c r="AJ3043" s="93"/>
    </row>
    <row r="3044" spans="30:36" ht="18">
      <c r="AD3044" s="93"/>
      <c r="AE3044" s="214"/>
      <c r="AF3044" s="93"/>
      <c r="AG3044" s="93"/>
      <c r="AH3044" s="93"/>
      <c r="AI3044" s="93"/>
      <c r="AJ3044" s="93"/>
    </row>
    <row r="3045" spans="30:36" ht="18">
      <c r="AD3045" s="93"/>
      <c r="AE3045" s="214"/>
      <c r="AF3045" s="93"/>
      <c r="AG3045" s="93"/>
      <c r="AH3045" s="93"/>
      <c r="AI3045" s="93"/>
      <c r="AJ3045" s="93"/>
    </row>
    <row r="3046" spans="30:36" ht="18">
      <c r="AD3046" s="93"/>
      <c r="AE3046" s="215"/>
      <c r="AF3046" s="93"/>
      <c r="AG3046" s="93"/>
      <c r="AH3046" s="93"/>
      <c r="AI3046" s="93"/>
      <c r="AJ3046" s="93"/>
    </row>
    <row r="3047" spans="30:36" ht="18">
      <c r="AD3047" s="93"/>
      <c r="AE3047" s="214"/>
      <c r="AF3047" s="93"/>
      <c r="AG3047" s="93"/>
      <c r="AH3047" s="93"/>
      <c r="AI3047" s="93"/>
      <c r="AJ3047" s="93"/>
    </row>
    <row r="3048" spans="30:36" ht="18">
      <c r="AD3048" s="93"/>
      <c r="AE3048" s="214"/>
      <c r="AF3048" s="93"/>
      <c r="AG3048" s="93"/>
      <c r="AH3048" s="93"/>
      <c r="AI3048" s="93"/>
      <c r="AJ3048" s="93"/>
    </row>
    <row r="3049" spans="30:36" ht="18">
      <c r="AD3049" s="93"/>
      <c r="AE3049" s="214"/>
      <c r="AF3049" s="93"/>
      <c r="AG3049" s="93"/>
      <c r="AH3049" s="93"/>
      <c r="AI3049" s="93"/>
      <c r="AJ3049" s="93"/>
    </row>
    <row r="3050" spans="30:36" ht="18">
      <c r="AD3050" s="93"/>
      <c r="AE3050" s="214"/>
      <c r="AF3050" s="93"/>
      <c r="AG3050" s="93"/>
      <c r="AH3050" s="93"/>
      <c r="AI3050" s="93"/>
      <c r="AJ3050" s="93"/>
    </row>
    <row r="3051" spans="30:36" ht="18">
      <c r="AD3051" s="93"/>
      <c r="AE3051" s="214"/>
      <c r="AF3051" s="93"/>
      <c r="AG3051" s="93"/>
      <c r="AH3051" s="93"/>
      <c r="AI3051" s="93"/>
      <c r="AJ3051" s="93"/>
    </row>
    <row r="3052" spans="30:36" ht="18">
      <c r="AD3052" s="93"/>
      <c r="AE3052" s="215"/>
      <c r="AF3052" s="93"/>
      <c r="AG3052" s="93"/>
      <c r="AH3052" s="93"/>
      <c r="AI3052" s="93"/>
      <c r="AJ3052" s="93"/>
    </row>
    <row r="3053" spans="30:36" ht="18">
      <c r="AD3053" s="93"/>
      <c r="AE3053" s="214"/>
      <c r="AF3053" s="93"/>
      <c r="AG3053" s="93"/>
      <c r="AH3053" s="93"/>
      <c r="AI3053" s="93"/>
      <c r="AJ3053" s="93"/>
    </row>
    <row r="3054" spans="30:36" ht="18">
      <c r="AD3054" s="93"/>
      <c r="AE3054" s="214"/>
      <c r="AF3054" s="93"/>
      <c r="AG3054" s="93"/>
      <c r="AH3054" s="93"/>
      <c r="AI3054" s="93"/>
      <c r="AJ3054" s="93"/>
    </row>
    <row r="3055" spans="30:36" ht="18">
      <c r="AD3055" s="93"/>
      <c r="AE3055" s="215"/>
      <c r="AF3055" s="93"/>
      <c r="AG3055" s="93"/>
      <c r="AH3055" s="93"/>
      <c r="AI3055" s="93"/>
      <c r="AJ3055" s="93"/>
    </row>
    <row r="3056" spans="30:36" ht="18">
      <c r="AD3056" s="93"/>
      <c r="AE3056" s="214"/>
      <c r="AF3056" s="93"/>
      <c r="AG3056" s="93"/>
      <c r="AH3056" s="93"/>
      <c r="AI3056" s="93"/>
      <c r="AJ3056" s="93"/>
    </row>
    <row r="3057" spans="30:36" ht="18">
      <c r="AD3057" s="93"/>
      <c r="AE3057" s="214"/>
      <c r="AF3057" s="93"/>
      <c r="AG3057" s="93"/>
      <c r="AH3057" s="93"/>
      <c r="AI3057" s="93"/>
      <c r="AJ3057" s="93"/>
    </row>
    <row r="3058" spans="30:36" ht="18">
      <c r="AD3058" s="93"/>
      <c r="AE3058" s="215"/>
      <c r="AF3058" s="93"/>
      <c r="AG3058" s="93"/>
      <c r="AH3058" s="93"/>
      <c r="AI3058" s="93"/>
      <c r="AJ3058" s="93"/>
    </row>
    <row r="3059" spans="30:36" ht="18">
      <c r="AD3059" s="93"/>
      <c r="AE3059" s="214"/>
      <c r="AF3059" s="93"/>
      <c r="AG3059" s="93"/>
      <c r="AH3059" s="93"/>
      <c r="AI3059" s="93"/>
      <c r="AJ3059" s="93"/>
    </row>
    <row r="3060" spans="30:36" ht="18">
      <c r="AD3060" s="93"/>
      <c r="AE3060" s="214"/>
      <c r="AF3060" s="93"/>
      <c r="AG3060" s="93"/>
      <c r="AH3060" s="93"/>
      <c r="AI3060" s="93"/>
      <c r="AJ3060" s="93"/>
    </row>
    <row r="3061" spans="30:36" ht="18">
      <c r="AD3061" s="93"/>
      <c r="AE3061" s="214"/>
      <c r="AF3061" s="93"/>
      <c r="AG3061" s="93"/>
      <c r="AH3061" s="93"/>
      <c r="AI3061" s="93"/>
      <c r="AJ3061" s="93"/>
    </row>
    <row r="3062" spans="30:36" ht="18">
      <c r="AD3062" s="93"/>
      <c r="AE3062" s="215"/>
      <c r="AF3062" s="93"/>
      <c r="AG3062" s="93"/>
      <c r="AH3062" s="93"/>
      <c r="AI3062" s="93"/>
      <c r="AJ3062" s="93"/>
    </row>
    <row r="3063" spans="30:36" ht="18">
      <c r="AD3063" s="93"/>
      <c r="AE3063" s="215"/>
      <c r="AF3063" s="93"/>
      <c r="AG3063" s="93"/>
      <c r="AH3063" s="93"/>
      <c r="AI3063" s="93"/>
      <c r="AJ3063" s="93"/>
    </row>
    <row r="3064" spans="30:36" ht="18">
      <c r="AD3064" s="93"/>
      <c r="AE3064" s="214"/>
      <c r="AF3064" s="93"/>
      <c r="AG3064" s="93"/>
      <c r="AH3064" s="93"/>
      <c r="AI3064" s="93"/>
      <c r="AJ3064" s="93"/>
    </row>
    <row r="3065" spans="30:36" ht="18">
      <c r="AD3065" s="93"/>
      <c r="AE3065" s="214"/>
      <c r="AF3065" s="93"/>
      <c r="AG3065" s="93"/>
      <c r="AH3065" s="93"/>
      <c r="AI3065" s="93"/>
      <c r="AJ3065" s="93"/>
    </row>
    <row r="3066" spans="30:36" ht="18">
      <c r="AD3066" s="93"/>
      <c r="AE3066" s="214"/>
      <c r="AF3066" s="93"/>
      <c r="AG3066" s="93"/>
      <c r="AH3066" s="93"/>
      <c r="AI3066" s="93"/>
      <c r="AJ3066" s="93"/>
    </row>
    <row r="3067" spans="30:36" ht="18">
      <c r="AD3067" s="93"/>
      <c r="AE3067" s="214"/>
      <c r="AF3067" s="93"/>
      <c r="AG3067" s="93"/>
      <c r="AH3067" s="93"/>
      <c r="AI3067" s="93"/>
      <c r="AJ3067" s="93"/>
    </row>
    <row r="3068" spans="30:36" ht="18">
      <c r="AD3068" s="93"/>
      <c r="AE3068" s="215"/>
      <c r="AF3068" s="93"/>
      <c r="AG3068" s="93"/>
      <c r="AH3068" s="93"/>
      <c r="AI3068" s="93"/>
      <c r="AJ3068" s="93"/>
    </row>
    <row r="3069" spans="30:36" ht="18">
      <c r="AD3069" s="93"/>
      <c r="AE3069" s="215"/>
      <c r="AF3069" s="93"/>
      <c r="AG3069" s="93"/>
      <c r="AH3069" s="93"/>
      <c r="AI3069" s="93"/>
      <c r="AJ3069" s="93"/>
    </row>
    <row r="3070" spans="30:36" ht="18">
      <c r="AD3070" s="93"/>
      <c r="AE3070" s="214"/>
      <c r="AF3070" s="93"/>
      <c r="AG3070" s="93"/>
      <c r="AH3070" s="93"/>
      <c r="AI3070" s="93"/>
      <c r="AJ3070" s="93"/>
    </row>
    <row r="3071" spans="30:36" ht="18">
      <c r="AD3071" s="93"/>
      <c r="AE3071" s="214"/>
      <c r="AF3071" s="93"/>
      <c r="AG3071" s="93"/>
      <c r="AH3071" s="93"/>
      <c r="AI3071" s="93"/>
      <c r="AJ3071" s="93"/>
    </row>
    <row r="3072" spans="30:36" ht="18">
      <c r="AD3072" s="93"/>
      <c r="AE3072" s="214"/>
      <c r="AF3072" s="93"/>
      <c r="AG3072" s="93"/>
      <c r="AH3072" s="93"/>
      <c r="AI3072" s="93"/>
      <c r="AJ3072" s="93"/>
    </row>
    <row r="3073" spans="30:36" ht="18">
      <c r="AD3073" s="93"/>
      <c r="AE3073" s="214"/>
      <c r="AF3073" s="93"/>
      <c r="AG3073" s="93"/>
      <c r="AH3073" s="93"/>
      <c r="AI3073" s="93"/>
      <c r="AJ3073" s="93"/>
    </row>
    <row r="3074" spans="30:36" ht="18">
      <c r="AD3074" s="93"/>
      <c r="AE3074" s="214"/>
      <c r="AF3074" s="93"/>
      <c r="AG3074" s="93"/>
      <c r="AH3074" s="93"/>
      <c r="AI3074" s="93"/>
      <c r="AJ3074" s="93"/>
    </row>
    <row r="3075" spans="30:36" ht="18">
      <c r="AD3075" s="93"/>
      <c r="AE3075" s="214"/>
      <c r="AF3075" s="93"/>
      <c r="AG3075" s="93"/>
      <c r="AH3075" s="93"/>
      <c r="AI3075" s="93"/>
      <c r="AJ3075" s="93"/>
    </row>
    <row r="3076" spans="30:36" ht="18">
      <c r="AD3076" s="93"/>
      <c r="AE3076" s="214"/>
      <c r="AF3076" s="93"/>
      <c r="AG3076" s="93"/>
      <c r="AH3076" s="93"/>
      <c r="AI3076" s="93"/>
      <c r="AJ3076" s="93"/>
    </row>
    <row r="3077" spans="30:36" ht="18">
      <c r="AD3077" s="93"/>
      <c r="AE3077" s="215"/>
      <c r="AF3077" s="93"/>
      <c r="AG3077" s="93"/>
      <c r="AH3077" s="93"/>
      <c r="AI3077" s="93"/>
      <c r="AJ3077" s="93"/>
    </row>
    <row r="3078" spans="30:36" ht="18">
      <c r="AD3078" s="93"/>
      <c r="AE3078" s="214"/>
      <c r="AF3078" s="93"/>
      <c r="AG3078" s="93"/>
      <c r="AH3078" s="93"/>
      <c r="AI3078" s="93"/>
      <c r="AJ3078" s="93"/>
    </row>
    <row r="3079" spans="30:36" ht="18">
      <c r="AD3079" s="93"/>
      <c r="AE3079" s="214"/>
      <c r="AF3079" s="93"/>
      <c r="AG3079" s="93"/>
      <c r="AH3079" s="93"/>
      <c r="AI3079" s="93"/>
      <c r="AJ3079" s="93"/>
    </row>
    <row r="3080" spans="30:36" ht="18">
      <c r="AD3080" s="93"/>
      <c r="AE3080" s="214"/>
      <c r="AF3080" s="93"/>
      <c r="AG3080" s="93"/>
      <c r="AH3080" s="93"/>
      <c r="AI3080" s="93"/>
      <c r="AJ3080" s="93"/>
    </row>
    <row r="3081" spans="30:36" ht="18">
      <c r="AD3081" s="93"/>
      <c r="AE3081" s="214"/>
      <c r="AF3081" s="93"/>
      <c r="AG3081" s="93"/>
      <c r="AH3081" s="93"/>
      <c r="AI3081" s="93"/>
      <c r="AJ3081" s="93"/>
    </row>
    <row r="3082" spans="30:36" ht="18">
      <c r="AD3082" s="93"/>
      <c r="AE3082" s="214"/>
      <c r="AF3082" s="93"/>
      <c r="AG3082" s="93"/>
      <c r="AH3082" s="93"/>
      <c r="AI3082" s="93"/>
      <c r="AJ3082" s="93"/>
    </row>
    <row r="3083" spans="30:36" ht="18">
      <c r="AD3083" s="93"/>
      <c r="AE3083" s="214"/>
      <c r="AF3083" s="93"/>
      <c r="AG3083" s="93"/>
      <c r="AH3083" s="93"/>
      <c r="AI3083" s="93"/>
      <c r="AJ3083" s="93"/>
    </row>
    <row r="3084" spans="30:36" ht="18">
      <c r="AD3084" s="93"/>
      <c r="AE3084" s="214"/>
      <c r="AF3084" s="93"/>
      <c r="AG3084" s="93"/>
      <c r="AH3084" s="93"/>
      <c r="AI3084" s="93"/>
      <c r="AJ3084" s="93"/>
    </row>
    <row r="3085" spans="30:36" ht="18">
      <c r="AD3085" s="93"/>
      <c r="AE3085" s="214"/>
      <c r="AF3085" s="93"/>
      <c r="AG3085" s="93"/>
      <c r="AH3085" s="93"/>
      <c r="AI3085" s="93"/>
      <c r="AJ3085" s="93"/>
    </row>
    <row r="3086" spans="30:36" ht="18">
      <c r="AD3086" s="93"/>
      <c r="AE3086" s="214"/>
      <c r="AF3086" s="93"/>
      <c r="AG3086" s="93"/>
      <c r="AH3086" s="93"/>
      <c r="AI3086" s="93"/>
      <c r="AJ3086" s="93"/>
    </row>
    <row r="3087" spans="30:36" ht="18">
      <c r="AD3087" s="93"/>
      <c r="AE3087" s="214"/>
      <c r="AF3087" s="93"/>
      <c r="AG3087" s="93"/>
      <c r="AH3087" s="93"/>
      <c r="AI3087" s="93"/>
      <c r="AJ3087" s="93"/>
    </row>
    <row r="3088" spans="30:36" ht="18">
      <c r="AD3088" s="93"/>
      <c r="AE3088" s="214"/>
      <c r="AF3088" s="93"/>
      <c r="AG3088" s="93"/>
      <c r="AH3088" s="93"/>
      <c r="AI3088" s="93"/>
      <c r="AJ3088" s="93"/>
    </row>
    <row r="3089" spans="30:36" ht="18">
      <c r="AD3089" s="93"/>
      <c r="AE3089" s="214"/>
      <c r="AF3089" s="93"/>
      <c r="AG3089" s="93"/>
      <c r="AH3089" s="93"/>
      <c r="AI3089" s="93"/>
      <c r="AJ3089" s="93"/>
    </row>
    <row r="3090" spans="30:36" ht="18">
      <c r="AD3090" s="93"/>
      <c r="AE3090" s="214"/>
      <c r="AF3090" s="93"/>
      <c r="AG3090" s="93"/>
      <c r="AH3090" s="93"/>
      <c r="AI3090" s="93"/>
      <c r="AJ3090" s="93"/>
    </row>
    <row r="3091" spans="30:36" ht="18">
      <c r="AD3091" s="93"/>
      <c r="AE3091" s="214"/>
      <c r="AF3091" s="93"/>
      <c r="AG3091" s="93"/>
      <c r="AH3091" s="93"/>
      <c r="AI3091" s="93"/>
      <c r="AJ3091" s="93"/>
    </row>
    <row r="3092" spans="30:36" ht="18">
      <c r="AD3092" s="93"/>
      <c r="AE3092" s="214"/>
      <c r="AF3092" s="93"/>
      <c r="AG3092" s="93"/>
      <c r="AH3092" s="93"/>
      <c r="AI3092" s="93"/>
      <c r="AJ3092" s="93"/>
    </row>
    <row r="3093" spans="30:36" ht="18">
      <c r="AD3093" s="93"/>
      <c r="AE3093" s="214"/>
      <c r="AF3093" s="93"/>
      <c r="AG3093" s="93"/>
      <c r="AH3093" s="93"/>
      <c r="AI3093" s="93"/>
      <c r="AJ3093" s="93"/>
    </row>
    <row r="3094" spans="30:36" ht="18">
      <c r="AD3094" s="93"/>
      <c r="AE3094" s="214"/>
      <c r="AF3094" s="93"/>
      <c r="AG3094" s="93"/>
      <c r="AH3094" s="93"/>
      <c r="AI3094" s="93"/>
      <c r="AJ3094" s="93"/>
    </row>
    <row r="3095" spans="30:36" ht="18">
      <c r="AD3095" s="93"/>
      <c r="AE3095" s="214"/>
      <c r="AF3095" s="93"/>
      <c r="AG3095" s="93"/>
      <c r="AH3095" s="93"/>
      <c r="AI3095" s="93"/>
      <c r="AJ3095" s="93"/>
    </row>
    <row r="3096" spans="30:36" ht="18">
      <c r="AD3096" s="93"/>
      <c r="AE3096" s="214"/>
      <c r="AF3096" s="93"/>
      <c r="AG3096" s="93"/>
      <c r="AH3096" s="93"/>
      <c r="AI3096" s="93"/>
      <c r="AJ3096" s="93"/>
    </row>
    <row r="3097" spans="30:36" ht="18">
      <c r="AD3097" s="93"/>
      <c r="AE3097" s="214"/>
      <c r="AF3097" s="93"/>
      <c r="AG3097" s="93"/>
      <c r="AH3097" s="93"/>
      <c r="AI3097" s="93"/>
      <c r="AJ3097" s="93"/>
    </row>
    <row r="3098" spans="30:36" ht="18">
      <c r="AD3098" s="93"/>
      <c r="AE3098" s="214"/>
      <c r="AF3098" s="93"/>
      <c r="AG3098" s="93"/>
      <c r="AH3098" s="93"/>
      <c r="AI3098" s="93"/>
      <c r="AJ3098" s="93"/>
    </row>
    <row r="3099" spans="30:36" ht="18">
      <c r="AD3099" s="93"/>
      <c r="AE3099" s="214"/>
      <c r="AF3099" s="93"/>
      <c r="AG3099" s="93"/>
      <c r="AH3099" s="93"/>
      <c r="AI3099" s="93"/>
      <c r="AJ3099" s="93"/>
    </row>
    <row r="3100" spans="30:36" ht="18">
      <c r="AD3100" s="93"/>
      <c r="AE3100" s="214"/>
      <c r="AF3100" s="93"/>
      <c r="AG3100" s="93"/>
      <c r="AH3100" s="93"/>
      <c r="AI3100" s="93"/>
      <c r="AJ3100" s="93"/>
    </row>
    <row r="3101" spans="30:36" ht="18">
      <c r="AD3101" s="93"/>
      <c r="AE3101" s="214"/>
      <c r="AF3101" s="93"/>
      <c r="AG3101" s="93"/>
      <c r="AH3101" s="93"/>
      <c r="AI3101" s="93"/>
      <c r="AJ3101" s="93"/>
    </row>
    <row r="3102" spans="30:36" ht="18">
      <c r="AD3102" s="93"/>
      <c r="AE3102" s="214"/>
      <c r="AF3102" s="93"/>
      <c r="AG3102" s="93"/>
      <c r="AH3102" s="93"/>
      <c r="AI3102" s="93"/>
      <c r="AJ3102" s="93"/>
    </row>
    <row r="3103" spans="30:36" ht="18">
      <c r="AD3103" s="93"/>
      <c r="AE3103" s="214"/>
      <c r="AF3103" s="93"/>
      <c r="AG3103" s="93"/>
      <c r="AH3103" s="93"/>
      <c r="AI3103" s="93"/>
      <c r="AJ3103" s="93"/>
    </row>
    <row r="3104" spans="30:36" ht="18">
      <c r="AD3104" s="93"/>
      <c r="AE3104" s="214"/>
      <c r="AF3104" s="93"/>
      <c r="AG3104" s="93"/>
      <c r="AH3104" s="93"/>
      <c r="AI3104" s="93"/>
      <c r="AJ3104" s="93"/>
    </row>
    <row r="3105" spans="30:36" ht="18">
      <c r="AD3105" s="93"/>
      <c r="AE3105" s="214"/>
      <c r="AF3105" s="93"/>
      <c r="AG3105" s="93"/>
      <c r="AH3105" s="93"/>
      <c r="AI3105" s="93"/>
      <c r="AJ3105" s="93"/>
    </row>
    <row r="3106" spans="30:36" ht="18">
      <c r="AD3106" s="93"/>
      <c r="AE3106" s="214"/>
      <c r="AF3106" s="93"/>
      <c r="AG3106" s="93"/>
      <c r="AH3106" s="93"/>
      <c r="AI3106" s="93"/>
      <c r="AJ3106" s="93"/>
    </row>
    <row r="3107" spans="30:36" ht="18">
      <c r="AD3107" s="93"/>
      <c r="AE3107" s="214"/>
      <c r="AF3107" s="93"/>
      <c r="AG3107" s="93"/>
      <c r="AH3107" s="93"/>
      <c r="AI3107" s="93"/>
      <c r="AJ3107" s="93"/>
    </row>
    <row r="3108" spans="30:36" ht="18">
      <c r="AD3108" s="93"/>
      <c r="AE3108" s="214"/>
      <c r="AF3108" s="93"/>
      <c r="AG3108" s="93"/>
      <c r="AH3108" s="93"/>
      <c r="AI3108" s="93"/>
      <c r="AJ3108" s="93"/>
    </row>
    <row r="3109" spans="30:36" ht="18">
      <c r="AD3109" s="93"/>
      <c r="AE3109" s="214"/>
      <c r="AF3109" s="93"/>
      <c r="AG3109" s="93"/>
      <c r="AH3109" s="93"/>
      <c r="AI3109" s="93"/>
      <c r="AJ3109" s="93"/>
    </row>
    <row r="3110" spans="30:36" ht="18">
      <c r="AD3110" s="93"/>
      <c r="AE3110" s="214"/>
      <c r="AF3110" s="93"/>
      <c r="AG3110" s="93"/>
      <c r="AH3110" s="93"/>
      <c r="AI3110" s="93"/>
      <c r="AJ3110" s="93"/>
    </row>
    <row r="3111" spans="30:36" ht="18">
      <c r="AD3111" s="93"/>
      <c r="AE3111" s="215"/>
      <c r="AF3111" s="93"/>
      <c r="AG3111" s="93"/>
      <c r="AH3111" s="93"/>
      <c r="AI3111" s="93"/>
      <c r="AJ3111" s="93"/>
    </row>
    <row r="3112" spans="30:36" ht="18">
      <c r="AD3112" s="93"/>
      <c r="AE3112" s="214"/>
      <c r="AF3112" s="93"/>
      <c r="AG3112" s="93"/>
      <c r="AH3112" s="93"/>
      <c r="AI3112" s="93"/>
      <c r="AJ3112" s="93"/>
    </row>
    <row r="3113" spans="30:36" ht="18">
      <c r="AD3113" s="93"/>
      <c r="AE3113" s="214"/>
      <c r="AF3113" s="93"/>
      <c r="AG3113" s="93"/>
      <c r="AH3113" s="93"/>
      <c r="AI3113" s="93"/>
      <c r="AJ3113" s="93"/>
    </row>
    <row r="3114" spans="30:36" ht="18">
      <c r="AD3114" s="93"/>
      <c r="AE3114" s="214"/>
      <c r="AF3114" s="93"/>
      <c r="AG3114" s="93"/>
      <c r="AH3114" s="93"/>
      <c r="AI3114" s="93"/>
      <c r="AJ3114" s="93"/>
    </row>
    <row r="3115" spans="30:36" ht="18">
      <c r="AD3115" s="93"/>
      <c r="AE3115" s="214"/>
      <c r="AF3115" s="93"/>
      <c r="AG3115" s="93"/>
      <c r="AH3115" s="93"/>
      <c r="AI3115" s="93"/>
      <c r="AJ3115" s="93"/>
    </row>
    <row r="3116" spans="30:36" ht="18">
      <c r="AD3116" s="93"/>
      <c r="AE3116" s="214"/>
      <c r="AF3116" s="93"/>
      <c r="AG3116" s="93"/>
      <c r="AH3116" s="93"/>
      <c r="AI3116" s="93"/>
      <c r="AJ3116" s="93"/>
    </row>
    <row r="3117" spans="30:36" ht="18">
      <c r="AD3117" s="93"/>
      <c r="AE3117" s="214"/>
      <c r="AF3117" s="93"/>
      <c r="AG3117" s="93"/>
      <c r="AH3117" s="93"/>
      <c r="AI3117" s="93"/>
      <c r="AJ3117" s="93"/>
    </row>
    <row r="3118" spans="30:36" ht="18">
      <c r="AD3118" s="93"/>
      <c r="AE3118" s="214"/>
      <c r="AF3118" s="93"/>
      <c r="AG3118" s="93"/>
      <c r="AH3118" s="93"/>
      <c r="AI3118" s="93"/>
      <c r="AJ3118" s="93"/>
    </row>
    <row r="3119" spans="30:36" ht="18">
      <c r="AD3119" s="93"/>
      <c r="AE3119" s="214"/>
      <c r="AF3119" s="93"/>
      <c r="AG3119" s="93"/>
      <c r="AH3119" s="93"/>
      <c r="AI3119" s="93"/>
      <c r="AJ3119" s="93"/>
    </row>
    <row r="3120" spans="30:36" ht="18">
      <c r="AD3120" s="93"/>
      <c r="AE3120" s="214"/>
      <c r="AF3120" s="93"/>
      <c r="AG3120" s="93"/>
      <c r="AH3120" s="93"/>
      <c r="AI3120" s="93"/>
      <c r="AJ3120" s="93"/>
    </row>
    <row r="3121" spans="30:36" ht="18">
      <c r="AD3121" s="93"/>
      <c r="AE3121" s="214"/>
      <c r="AF3121" s="93"/>
      <c r="AG3121" s="93"/>
      <c r="AH3121" s="93"/>
      <c r="AI3121" s="93"/>
      <c r="AJ3121" s="93"/>
    </row>
    <row r="3122" spans="30:36" ht="18">
      <c r="AD3122" s="93"/>
      <c r="AE3122" s="214"/>
      <c r="AF3122" s="93"/>
      <c r="AG3122" s="93"/>
      <c r="AH3122" s="93"/>
      <c r="AI3122" s="93"/>
      <c r="AJ3122" s="93"/>
    </row>
    <row r="3123" spans="30:36" ht="18">
      <c r="AD3123" s="93"/>
      <c r="AE3123" s="214"/>
      <c r="AF3123" s="93"/>
      <c r="AG3123" s="93"/>
      <c r="AH3123" s="93"/>
      <c r="AI3123" s="93"/>
      <c r="AJ3123" s="93"/>
    </row>
    <row r="3124" spans="30:36" ht="18">
      <c r="AD3124" s="93"/>
      <c r="AE3124" s="214"/>
      <c r="AF3124" s="93"/>
      <c r="AG3124" s="93"/>
      <c r="AH3124" s="93"/>
      <c r="AI3124" s="93"/>
      <c r="AJ3124" s="93"/>
    </row>
    <row r="3125" spans="30:36" ht="18">
      <c r="AD3125" s="93"/>
      <c r="AE3125" s="214"/>
      <c r="AF3125" s="93"/>
      <c r="AG3125" s="93"/>
      <c r="AH3125" s="93"/>
      <c r="AI3125" s="93"/>
      <c r="AJ3125" s="93"/>
    </row>
    <row r="3126" spans="30:36" ht="18">
      <c r="AD3126" s="93"/>
      <c r="AE3126" s="214"/>
      <c r="AF3126" s="93"/>
      <c r="AG3126" s="93"/>
      <c r="AH3126" s="93"/>
      <c r="AI3126" s="93"/>
      <c r="AJ3126" s="93"/>
    </row>
    <row r="3127" spans="30:36" ht="18">
      <c r="AD3127" s="93"/>
      <c r="AE3127" s="214"/>
      <c r="AF3127" s="93"/>
      <c r="AG3127" s="93"/>
      <c r="AH3127" s="93"/>
      <c r="AI3127" s="93"/>
      <c r="AJ3127" s="93"/>
    </row>
    <row r="3128" spans="30:36" ht="18">
      <c r="AD3128" s="93"/>
      <c r="AE3128" s="214"/>
      <c r="AF3128" s="93"/>
      <c r="AG3128" s="93"/>
      <c r="AH3128" s="93"/>
      <c r="AI3128" s="93"/>
      <c r="AJ3128" s="93"/>
    </row>
    <row r="3129" spans="30:36" ht="18">
      <c r="AD3129" s="93"/>
      <c r="AE3129" s="214"/>
      <c r="AF3129" s="93"/>
      <c r="AG3129" s="93"/>
      <c r="AH3129" s="93"/>
      <c r="AI3129" s="93"/>
      <c r="AJ3129" s="93"/>
    </row>
    <row r="3130" spans="30:36" ht="18">
      <c r="AD3130" s="93"/>
      <c r="AE3130" s="214"/>
      <c r="AF3130" s="93"/>
      <c r="AG3130" s="93"/>
      <c r="AH3130" s="93"/>
      <c r="AI3130" s="93"/>
      <c r="AJ3130" s="93"/>
    </row>
    <row r="3131" spans="30:36" ht="18">
      <c r="AD3131" s="93"/>
      <c r="AE3131" s="214"/>
      <c r="AF3131" s="93"/>
      <c r="AG3131" s="93"/>
      <c r="AH3131" s="93"/>
      <c r="AI3131" s="93"/>
      <c r="AJ3131" s="93"/>
    </row>
    <row r="3132" spans="30:36" ht="18">
      <c r="AD3132" s="93"/>
      <c r="AE3132" s="214"/>
      <c r="AF3132" s="93"/>
      <c r="AG3132" s="93"/>
      <c r="AH3132" s="93"/>
      <c r="AI3132" s="93"/>
      <c r="AJ3132" s="93"/>
    </row>
    <row r="3133" spans="30:36" ht="18">
      <c r="AD3133" s="93"/>
      <c r="AE3133" s="214"/>
      <c r="AF3133" s="93"/>
      <c r="AG3133" s="93"/>
      <c r="AH3133" s="93"/>
      <c r="AI3133" s="93"/>
      <c r="AJ3133" s="93"/>
    </row>
    <row r="3134" spans="30:36" ht="18">
      <c r="AD3134" s="93"/>
      <c r="AE3134" s="214"/>
      <c r="AF3134" s="93"/>
      <c r="AG3134" s="93"/>
      <c r="AH3134" s="93"/>
      <c r="AI3134" s="93"/>
      <c r="AJ3134" s="93"/>
    </row>
    <row r="3135" spans="30:36" ht="18">
      <c r="AD3135" s="93"/>
      <c r="AE3135" s="214"/>
      <c r="AF3135" s="93"/>
      <c r="AG3135" s="93"/>
      <c r="AH3135" s="93"/>
      <c r="AI3135" s="93"/>
      <c r="AJ3135" s="93"/>
    </row>
    <row r="3136" spans="30:36" ht="18">
      <c r="AD3136" s="93"/>
      <c r="AE3136" s="214"/>
      <c r="AF3136" s="93"/>
      <c r="AG3136" s="93"/>
      <c r="AH3136" s="93"/>
      <c r="AI3136" s="93"/>
      <c r="AJ3136" s="93"/>
    </row>
    <row r="3137" spans="30:36" ht="18">
      <c r="AD3137" s="93"/>
      <c r="AE3137" s="214"/>
      <c r="AF3137" s="93"/>
      <c r="AG3137" s="93"/>
      <c r="AH3137" s="93"/>
      <c r="AI3137" s="93"/>
      <c r="AJ3137" s="93"/>
    </row>
    <row r="3138" spans="30:36" ht="18">
      <c r="AD3138" s="93"/>
      <c r="AE3138" s="214"/>
      <c r="AF3138" s="93"/>
      <c r="AG3138" s="93"/>
      <c r="AH3138" s="93"/>
      <c r="AI3138" s="93"/>
      <c r="AJ3138" s="93"/>
    </row>
    <row r="3139" spans="30:36" ht="18">
      <c r="AD3139" s="93"/>
      <c r="AE3139" s="214"/>
      <c r="AF3139" s="93"/>
      <c r="AG3139" s="93"/>
      <c r="AH3139" s="93"/>
      <c r="AI3139" s="93"/>
      <c r="AJ3139" s="93"/>
    </row>
    <row r="3140" spans="30:36" ht="18">
      <c r="AD3140" s="93"/>
      <c r="AE3140" s="214"/>
      <c r="AF3140" s="93"/>
      <c r="AG3140" s="93"/>
      <c r="AH3140" s="93"/>
      <c r="AI3140" s="93"/>
      <c r="AJ3140" s="93"/>
    </row>
    <row r="3141" spans="30:36" ht="18">
      <c r="AD3141" s="93"/>
      <c r="AE3141" s="214"/>
      <c r="AF3141" s="93"/>
      <c r="AG3141" s="93"/>
      <c r="AH3141" s="93"/>
      <c r="AI3141" s="93"/>
      <c r="AJ3141" s="93"/>
    </row>
    <row r="3142" spans="30:36" ht="18">
      <c r="AD3142" s="93"/>
      <c r="AE3142" s="214"/>
      <c r="AF3142" s="93"/>
      <c r="AG3142" s="93"/>
      <c r="AH3142" s="93"/>
      <c r="AI3142" s="93"/>
      <c r="AJ3142" s="93"/>
    </row>
    <row r="3143" spans="30:36" ht="18">
      <c r="AD3143" s="93"/>
      <c r="AE3143" s="214"/>
      <c r="AF3143" s="93"/>
      <c r="AG3143" s="93"/>
      <c r="AH3143" s="93"/>
      <c r="AI3143" s="93"/>
      <c r="AJ3143" s="93"/>
    </row>
    <row r="3144" spans="30:36" ht="18">
      <c r="AD3144" s="93"/>
      <c r="AE3144" s="214"/>
      <c r="AF3144" s="93"/>
      <c r="AG3144" s="93"/>
      <c r="AH3144" s="93"/>
      <c r="AI3144" s="93"/>
      <c r="AJ3144" s="93"/>
    </row>
    <row r="3145" spans="30:36" ht="18">
      <c r="AD3145" s="93"/>
      <c r="AE3145" s="214"/>
      <c r="AF3145" s="93"/>
      <c r="AG3145" s="93"/>
      <c r="AH3145" s="93"/>
      <c r="AI3145" s="93"/>
      <c r="AJ3145" s="93"/>
    </row>
    <row r="3146" spans="30:36" ht="18">
      <c r="AD3146" s="93"/>
      <c r="AE3146" s="214"/>
      <c r="AF3146" s="93"/>
      <c r="AG3146" s="93"/>
      <c r="AH3146" s="93"/>
      <c r="AI3146" s="93"/>
      <c r="AJ3146" s="93"/>
    </row>
    <row r="3147" spans="30:36" ht="18">
      <c r="AD3147" s="93"/>
      <c r="AE3147" s="214"/>
      <c r="AF3147" s="93"/>
      <c r="AG3147" s="93"/>
      <c r="AH3147" s="93"/>
      <c r="AI3147" s="93"/>
      <c r="AJ3147" s="93"/>
    </row>
    <row r="3148" spans="30:36" ht="18">
      <c r="AD3148" s="93"/>
      <c r="AE3148" s="214"/>
      <c r="AF3148" s="93"/>
      <c r="AG3148" s="93"/>
      <c r="AH3148" s="93"/>
      <c r="AI3148" s="93"/>
      <c r="AJ3148" s="93"/>
    </row>
    <row r="3149" spans="30:36" ht="18">
      <c r="AD3149" s="93"/>
      <c r="AE3149" s="214"/>
      <c r="AF3149" s="93"/>
      <c r="AG3149" s="93"/>
      <c r="AH3149" s="93"/>
      <c r="AI3149" s="93"/>
      <c r="AJ3149" s="93"/>
    </row>
    <row r="3150" spans="30:36" ht="18">
      <c r="AD3150" s="93"/>
      <c r="AE3150" s="214"/>
      <c r="AF3150" s="93"/>
      <c r="AG3150" s="93"/>
      <c r="AH3150" s="93"/>
      <c r="AI3150" s="93"/>
      <c r="AJ3150" s="93"/>
    </row>
    <row r="3151" spans="30:36" ht="18">
      <c r="AD3151" s="93"/>
      <c r="AE3151" s="215"/>
      <c r="AF3151" s="93"/>
      <c r="AG3151" s="93"/>
      <c r="AH3151" s="93"/>
      <c r="AI3151" s="93"/>
      <c r="AJ3151" s="93"/>
    </row>
    <row r="3152" spans="30:36" ht="18">
      <c r="AD3152" s="93"/>
      <c r="AE3152" s="214"/>
      <c r="AF3152" s="93"/>
      <c r="AG3152" s="93"/>
      <c r="AH3152" s="93"/>
      <c r="AI3152" s="93"/>
      <c r="AJ3152" s="93"/>
    </row>
    <row r="3153" spans="30:36" ht="18">
      <c r="AD3153" s="93"/>
      <c r="AE3153" s="214"/>
      <c r="AF3153" s="93"/>
      <c r="AG3153" s="93"/>
      <c r="AH3153" s="93"/>
      <c r="AI3153" s="93"/>
      <c r="AJ3153" s="93"/>
    </row>
    <row r="3154" spans="30:36" ht="18">
      <c r="AD3154" s="93"/>
      <c r="AE3154" s="214"/>
      <c r="AF3154" s="93"/>
      <c r="AG3154" s="93"/>
      <c r="AH3154" s="93"/>
      <c r="AI3154" s="93"/>
      <c r="AJ3154" s="93"/>
    </row>
    <row r="3155" spans="30:36" ht="18">
      <c r="AD3155" s="93"/>
      <c r="AE3155" s="214"/>
      <c r="AF3155" s="93"/>
      <c r="AG3155" s="93"/>
      <c r="AH3155" s="93"/>
      <c r="AI3155" s="93"/>
      <c r="AJ3155" s="93"/>
    </row>
    <row r="3156" spans="30:36" ht="18">
      <c r="AD3156" s="93"/>
      <c r="AE3156" s="214"/>
      <c r="AF3156" s="93"/>
      <c r="AG3156" s="93"/>
      <c r="AH3156" s="93"/>
      <c r="AI3156" s="93"/>
      <c r="AJ3156" s="93"/>
    </row>
    <row r="3157" spans="30:36" ht="18">
      <c r="AD3157" s="93"/>
      <c r="AE3157" s="214"/>
      <c r="AF3157" s="93"/>
      <c r="AG3157" s="93"/>
      <c r="AH3157" s="93"/>
      <c r="AI3157" s="93"/>
      <c r="AJ3157" s="93"/>
    </row>
    <row r="3158" spans="30:36" ht="18">
      <c r="AD3158" s="93"/>
      <c r="AE3158" s="214"/>
      <c r="AF3158" s="93"/>
      <c r="AG3158" s="93"/>
      <c r="AH3158" s="93"/>
      <c r="AI3158" s="93"/>
      <c r="AJ3158" s="93"/>
    </row>
    <row r="3159" spans="30:36" ht="18">
      <c r="AD3159" s="93"/>
      <c r="AE3159" s="214"/>
      <c r="AF3159" s="93"/>
      <c r="AG3159" s="93"/>
      <c r="AH3159" s="93"/>
      <c r="AI3159" s="93"/>
      <c r="AJ3159" s="93"/>
    </row>
    <row r="3160" spans="30:36" ht="18">
      <c r="AD3160" s="93"/>
      <c r="AE3160" s="214"/>
      <c r="AF3160" s="93"/>
      <c r="AG3160" s="93"/>
      <c r="AH3160" s="93"/>
      <c r="AI3160" s="93"/>
      <c r="AJ3160" s="93"/>
    </row>
    <row r="3161" spans="30:36" ht="18">
      <c r="AD3161" s="93"/>
      <c r="AE3161" s="214"/>
      <c r="AF3161" s="93"/>
      <c r="AG3161" s="93"/>
      <c r="AH3161" s="93"/>
      <c r="AI3161" s="93"/>
      <c r="AJ3161" s="93"/>
    </row>
    <row r="3162" spans="30:36" ht="18">
      <c r="AD3162" s="93"/>
      <c r="AE3162" s="214"/>
      <c r="AF3162" s="93"/>
      <c r="AG3162" s="93"/>
      <c r="AH3162" s="93"/>
      <c r="AI3162" s="93"/>
      <c r="AJ3162" s="93"/>
    </row>
    <row r="3163" spans="30:36" ht="18">
      <c r="AD3163" s="93"/>
      <c r="AE3163" s="214"/>
      <c r="AF3163" s="93"/>
      <c r="AG3163" s="93"/>
      <c r="AH3163" s="93"/>
      <c r="AI3163" s="93"/>
      <c r="AJ3163" s="93"/>
    </row>
    <row r="3164" spans="30:36" ht="18">
      <c r="AD3164" s="93"/>
      <c r="AE3164" s="214"/>
      <c r="AF3164" s="93"/>
      <c r="AG3164" s="93"/>
      <c r="AH3164" s="93"/>
      <c r="AI3164" s="93"/>
      <c r="AJ3164" s="93"/>
    </row>
    <row r="3165" spans="30:36" ht="18">
      <c r="AD3165" s="93"/>
      <c r="AE3165" s="214"/>
      <c r="AF3165" s="93"/>
      <c r="AG3165" s="93"/>
      <c r="AH3165" s="93"/>
      <c r="AI3165" s="93"/>
      <c r="AJ3165" s="93"/>
    </row>
    <row r="3166" spans="30:36" ht="18">
      <c r="AD3166" s="93"/>
      <c r="AE3166" s="214"/>
      <c r="AF3166" s="93"/>
      <c r="AG3166" s="93"/>
      <c r="AH3166" s="93"/>
      <c r="AI3166" s="93"/>
      <c r="AJ3166" s="93"/>
    </row>
    <row r="3167" spans="30:36" ht="18">
      <c r="AD3167" s="93"/>
      <c r="AE3167" s="214"/>
      <c r="AF3167" s="93"/>
      <c r="AG3167" s="93"/>
      <c r="AH3167" s="93"/>
      <c r="AI3167" s="93"/>
      <c r="AJ3167" s="93"/>
    </row>
    <row r="3168" spans="30:36" ht="18">
      <c r="AD3168" s="93"/>
      <c r="AE3168" s="215"/>
      <c r="AF3168" s="93"/>
      <c r="AG3168" s="93"/>
      <c r="AH3168" s="93"/>
      <c r="AI3168" s="93"/>
      <c r="AJ3168" s="93"/>
    </row>
    <row r="3169" spans="30:36" ht="18">
      <c r="AD3169" s="93"/>
      <c r="AE3169" s="214"/>
      <c r="AF3169" s="93"/>
      <c r="AG3169" s="93"/>
      <c r="AH3169" s="93"/>
      <c r="AI3169" s="93"/>
      <c r="AJ3169" s="93"/>
    </row>
    <row r="3170" spans="30:36" ht="18">
      <c r="AD3170" s="93"/>
      <c r="AE3170" s="214"/>
      <c r="AF3170" s="93"/>
      <c r="AG3170" s="93"/>
      <c r="AH3170" s="93"/>
      <c r="AI3170" s="93"/>
      <c r="AJ3170" s="93"/>
    </row>
    <row r="3171" spans="30:36" ht="18">
      <c r="AD3171" s="93"/>
      <c r="AE3171" s="214"/>
      <c r="AF3171" s="93"/>
      <c r="AG3171" s="93"/>
      <c r="AH3171" s="93"/>
      <c r="AI3171" s="93"/>
      <c r="AJ3171" s="93"/>
    </row>
    <row r="3172" spans="30:36" ht="18">
      <c r="AD3172" s="93"/>
      <c r="AE3172" s="214"/>
      <c r="AF3172" s="93"/>
      <c r="AG3172" s="93"/>
      <c r="AH3172" s="93"/>
      <c r="AI3172" s="93"/>
      <c r="AJ3172" s="93"/>
    </row>
    <row r="3173" spans="30:36" ht="18">
      <c r="AD3173" s="93"/>
      <c r="AE3173" s="214"/>
      <c r="AF3173" s="93"/>
      <c r="AG3173" s="93"/>
      <c r="AH3173" s="93"/>
      <c r="AI3173" s="93"/>
      <c r="AJ3173" s="93"/>
    </row>
    <row r="3174" spans="30:36" ht="18">
      <c r="AD3174" s="93"/>
      <c r="AE3174" s="214"/>
      <c r="AF3174" s="93"/>
      <c r="AG3174" s="93"/>
      <c r="AH3174" s="93"/>
      <c r="AI3174" s="93"/>
      <c r="AJ3174" s="93"/>
    </row>
    <row r="3175" spans="30:36" ht="18">
      <c r="AD3175" s="93"/>
      <c r="AE3175" s="214"/>
      <c r="AF3175" s="93"/>
      <c r="AG3175" s="93"/>
      <c r="AH3175" s="93"/>
      <c r="AI3175" s="93"/>
      <c r="AJ3175" s="93"/>
    </row>
    <row r="3176" spans="30:36" ht="18">
      <c r="AD3176" s="93"/>
      <c r="AE3176" s="214"/>
      <c r="AF3176" s="93"/>
      <c r="AG3176" s="93"/>
      <c r="AH3176" s="93"/>
      <c r="AI3176" s="93"/>
      <c r="AJ3176" s="93"/>
    </row>
    <row r="3177" spans="30:36" ht="18">
      <c r="AD3177" s="93"/>
      <c r="AE3177" s="214"/>
      <c r="AF3177" s="93"/>
      <c r="AG3177" s="93"/>
      <c r="AH3177" s="93"/>
      <c r="AI3177" s="93"/>
      <c r="AJ3177" s="93"/>
    </row>
    <row r="3178" spans="30:36" ht="18">
      <c r="AD3178" s="93"/>
      <c r="AE3178" s="214"/>
      <c r="AF3178" s="93"/>
      <c r="AG3178" s="93"/>
      <c r="AH3178" s="93"/>
      <c r="AI3178" s="93"/>
      <c r="AJ3178" s="93"/>
    </row>
    <row r="3179" spans="30:36" ht="18">
      <c r="AD3179" s="93"/>
      <c r="AE3179" s="214"/>
      <c r="AF3179" s="93"/>
      <c r="AG3179" s="93"/>
      <c r="AH3179" s="93"/>
      <c r="AI3179" s="93"/>
      <c r="AJ3179" s="93"/>
    </row>
    <row r="3180" spans="30:36" ht="18">
      <c r="AD3180" s="93"/>
      <c r="AE3180" s="214"/>
      <c r="AF3180" s="93"/>
      <c r="AG3180" s="93"/>
      <c r="AH3180" s="93"/>
      <c r="AI3180" s="93"/>
      <c r="AJ3180" s="93"/>
    </row>
    <row r="3181" spans="30:36" ht="18">
      <c r="AD3181" s="93"/>
      <c r="AE3181" s="214"/>
      <c r="AF3181" s="93"/>
      <c r="AG3181" s="93"/>
      <c r="AH3181" s="93"/>
      <c r="AI3181" s="93"/>
      <c r="AJ3181" s="93"/>
    </row>
    <row r="3182" spans="30:36" ht="18">
      <c r="AD3182" s="93"/>
      <c r="AE3182" s="214"/>
      <c r="AF3182" s="93"/>
      <c r="AG3182" s="93"/>
      <c r="AH3182" s="93"/>
      <c r="AI3182" s="93"/>
      <c r="AJ3182" s="93"/>
    </row>
    <row r="3183" spans="30:36" ht="18">
      <c r="AD3183" s="93"/>
      <c r="AE3183" s="214"/>
      <c r="AF3183" s="93"/>
      <c r="AG3183" s="93"/>
      <c r="AH3183" s="93"/>
      <c r="AI3183" s="93"/>
      <c r="AJ3183" s="93"/>
    </row>
    <row r="3184" spans="30:36" ht="18">
      <c r="AD3184" s="93"/>
      <c r="AE3184" s="214"/>
      <c r="AF3184" s="93"/>
      <c r="AG3184" s="93"/>
      <c r="AH3184" s="93"/>
      <c r="AI3184" s="93"/>
      <c r="AJ3184" s="93"/>
    </row>
    <row r="3185" spans="30:36" ht="18">
      <c r="AD3185" s="93"/>
      <c r="AE3185" s="214"/>
      <c r="AF3185" s="93"/>
      <c r="AG3185" s="93"/>
      <c r="AH3185" s="93"/>
      <c r="AI3185" s="93"/>
      <c r="AJ3185" s="93"/>
    </row>
    <row r="3186" spans="30:36" ht="18">
      <c r="AD3186" s="93"/>
      <c r="AE3186" s="214"/>
      <c r="AF3186" s="93"/>
      <c r="AG3186" s="93"/>
      <c r="AH3186" s="93"/>
      <c r="AI3186" s="93"/>
      <c r="AJ3186" s="93"/>
    </row>
    <row r="3187" spans="30:36" ht="18">
      <c r="AD3187" s="93"/>
      <c r="AE3187" s="214"/>
      <c r="AF3187" s="93"/>
      <c r="AG3187" s="93"/>
      <c r="AH3187" s="93"/>
      <c r="AI3187" s="93"/>
      <c r="AJ3187" s="93"/>
    </row>
    <row r="3188" spans="30:36" ht="18">
      <c r="AD3188" s="93"/>
      <c r="AE3188" s="214"/>
      <c r="AF3188" s="93"/>
      <c r="AG3188" s="93"/>
      <c r="AH3188" s="93"/>
      <c r="AI3188" s="93"/>
      <c r="AJ3188" s="93"/>
    </row>
    <row r="3189" spans="30:36" ht="18">
      <c r="AD3189" s="93"/>
      <c r="AE3189" s="215"/>
      <c r="AF3189" s="93"/>
      <c r="AG3189" s="93"/>
      <c r="AH3189" s="93"/>
      <c r="AI3189" s="93"/>
      <c r="AJ3189" s="93"/>
    </row>
    <row r="3190" spans="30:36" ht="18">
      <c r="AD3190" s="93"/>
      <c r="AE3190" s="215"/>
      <c r="AF3190" s="93"/>
      <c r="AG3190" s="93"/>
      <c r="AH3190" s="93"/>
      <c r="AI3190" s="93"/>
      <c r="AJ3190" s="93"/>
    </row>
    <row r="3191" spans="30:36" ht="18">
      <c r="AD3191" s="93"/>
      <c r="AE3191" s="214"/>
      <c r="AF3191" s="93"/>
      <c r="AG3191" s="93"/>
      <c r="AH3191" s="93"/>
      <c r="AI3191" s="93"/>
      <c r="AJ3191" s="93"/>
    </row>
    <row r="3192" spans="30:36" ht="18">
      <c r="AD3192" s="93"/>
      <c r="AE3192" s="214"/>
      <c r="AF3192" s="93"/>
      <c r="AG3192" s="93"/>
      <c r="AH3192" s="93"/>
      <c r="AI3192" s="93"/>
      <c r="AJ3192" s="93"/>
    </row>
    <row r="3193" spans="30:36" ht="18">
      <c r="AD3193" s="93"/>
      <c r="AE3193" s="214"/>
      <c r="AF3193" s="93"/>
      <c r="AG3193" s="93"/>
      <c r="AH3193" s="93"/>
      <c r="AI3193" s="93"/>
      <c r="AJ3193" s="93"/>
    </row>
    <row r="3194" spans="30:36" ht="18">
      <c r="AD3194" s="93"/>
      <c r="AE3194" s="215"/>
      <c r="AF3194" s="93"/>
      <c r="AG3194" s="93"/>
      <c r="AH3194" s="93"/>
      <c r="AI3194" s="93"/>
      <c r="AJ3194" s="93"/>
    </row>
    <row r="3195" spans="30:36" ht="18">
      <c r="AD3195" s="93"/>
      <c r="AE3195" s="215"/>
      <c r="AF3195" s="93"/>
      <c r="AG3195" s="93"/>
      <c r="AH3195" s="93"/>
      <c r="AI3195" s="93"/>
      <c r="AJ3195" s="93"/>
    </row>
    <row r="3196" spans="30:36" ht="18">
      <c r="AD3196" s="93"/>
      <c r="AE3196" s="214"/>
      <c r="AF3196" s="93"/>
      <c r="AG3196" s="93"/>
      <c r="AH3196" s="93"/>
      <c r="AI3196" s="93"/>
      <c r="AJ3196" s="93"/>
    </row>
    <row r="3197" spans="30:36" ht="18">
      <c r="AD3197" s="93"/>
      <c r="AE3197" s="214"/>
      <c r="AF3197" s="93"/>
      <c r="AG3197" s="93"/>
      <c r="AH3197" s="93"/>
      <c r="AI3197" s="93"/>
      <c r="AJ3197" s="93"/>
    </row>
    <row r="3198" spans="30:36" ht="18">
      <c r="AD3198" s="93"/>
      <c r="AE3198" s="214"/>
      <c r="AF3198" s="93"/>
      <c r="AG3198" s="93"/>
      <c r="AH3198" s="93"/>
      <c r="AI3198" s="93"/>
      <c r="AJ3198" s="93"/>
    </row>
    <row r="3199" spans="30:36" ht="18">
      <c r="AD3199" s="93"/>
      <c r="AE3199" s="214"/>
      <c r="AF3199" s="93"/>
      <c r="AG3199" s="93"/>
      <c r="AH3199" s="93"/>
      <c r="AI3199" s="93"/>
      <c r="AJ3199" s="93"/>
    </row>
    <row r="3200" spans="30:36" ht="18">
      <c r="AD3200" s="93"/>
      <c r="AE3200" s="214"/>
      <c r="AF3200" s="93"/>
      <c r="AG3200" s="93"/>
      <c r="AH3200" s="93"/>
      <c r="AI3200" s="93"/>
      <c r="AJ3200" s="93"/>
    </row>
    <row r="3201" spans="30:36" ht="18">
      <c r="AD3201" s="93"/>
      <c r="AE3201" s="214"/>
      <c r="AF3201" s="93"/>
      <c r="AG3201" s="93"/>
      <c r="AH3201" s="93"/>
      <c r="AI3201" s="93"/>
      <c r="AJ3201" s="93"/>
    </row>
    <row r="3202" spans="30:36" ht="18">
      <c r="AD3202" s="93"/>
      <c r="AE3202" s="214"/>
      <c r="AF3202" s="93"/>
      <c r="AG3202" s="93"/>
      <c r="AH3202" s="93"/>
      <c r="AI3202" s="93"/>
      <c r="AJ3202" s="93"/>
    </row>
    <row r="3203" spans="30:36" ht="18">
      <c r="AD3203" s="93"/>
      <c r="AE3203" s="215"/>
      <c r="AF3203" s="93"/>
      <c r="AG3203" s="93"/>
      <c r="AH3203" s="93"/>
      <c r="AI3203" s="93"/>
      <c r="AJ3203" s="93"/>
    </row>
    <row r="3204" spans="30:36" ht="18">
      <c r="AD3204" s="93"/>
      <c r="AE3204" s="215"/>
      <c r="AF3204" s="93"/>
      <c r="AG3204" s="93"/>
      <c r="AH3204" s="93"/>
      <c r="AI3204" s="93"/>
      <c r="AJ3204" s="93"/>
    </row>
    <row r="3205" spans="30:36" ht="18">
      <c r="AD3205" s="93"/>
      <c r="AE3205" s="214"/>
      <c r="AF3205" s="93"/>
      <c r="AG3205" s="93"/>
      <c r="AH3205" s="93"/>
      <c r="AI3205" s="93"/>
      <c r="AJ3205" s="93"/>
    </row>
    <row r="3206" spans="30:36" ht="18">
      <c r="AD3206" s="93"/>
      <c r="AE3206" s="214"/>
      <c r="AF3206" s="93"/>
      <c r="AG3206" s="93"/>
      <c r="AH3206" s="93"/>
      <c r="AI3206" s="93"/>
      <c r="AJ3206" s="93"/>
    </row>
    <row r="3207" spans="30:36" ht="18">
      <c r="AD3207" s="93"/>
      <c r="AE3207" s="214"/>
      <c r="AF3207" s="93"/>
      <c r="AG3207" s="93"/>
      <c r="AH3207" s="93"/>
      <c r="AI3207" s="93"/>
      <c r="AJ3207" s="93"/>
    </row>
    <row r="3208" spans="30:36" ht="18">
      <c r="AD3208" s="93"/>
      <c r="AE3208" s="214"/>
      <c r="AF3208" s="93"/>
      <c r="AG3208" s="93"/>
      <c r="AH3208" s="93"/>
      <c r="AI3208" s="93"/>
      <c r="AJ3208" s="93"/>
    </row>
    <row r="3209" spans="30:36" ht="18">
      <c r="AD3209" s="93"/>
      <c r="AE3209" s="214"/>
      <c r="AF3209" s="93"/>
      <c r="AG3209" s="93"/>
      <c r="AH3209" s="93"/>
      <c r="AI3209" s="93"/>
      <c r="AJ3209" s="93"/>
    </row>
    <row r="3210" spans="30:36" ht="18">
      <c r="AD3210" s="93"/>
      <c r="AE3210" s="214"/>
      <c r="AF3210" s="93"/>
      <c r="AG3210" s="93"/>
      <c r="AH3210" s="93"/>
      <c r="AI3210" s="93"/>
      <c r="AJ3210" s="93"/>
    </row>
    <row r="3211" spans="30:36" ht="18">
      <c r="AD3211" s="93"/>
      <c r="AE3211" s="214"/>
      <c r="AF3211" s="93"/>
      <c r="AG3211" s="93"/>
      <c r="AH3211" s="93"/>
      <c r="AI3211" s="93"/>
      <c r="AJ3211" s="93"/>
    </row>
    <row r="3212" spans="30:36" ht="18">
      <c r="AD3212" s="93"/>
      <c r="AE3212" s="214"/>
      <c r="AF3212" s="93"/>
      <c r="AG3212" s="93"/>
      <c r="AH3212" s="93"/>
      <c r="AI3212" s="93"/>
      <c r="AJ3212" s="93"/>
    </row>
    <row r="3213" spans="30:36" ht="18">
      <c r="AD3213" s="93"/>
      <c r="AE3213" s="215"/>
      <c r="AF3213" s="93"/>
      <c r="AG3213" s="93"/>
      <c r="AH3213" s="93"/>
      <c r="AI3213" s="93"/>
      <c r="AJ3213" s="93"/>
    </row>
    <row r="3214" spans="30:36" ht="18">
      <c r="AD3214" s="93"/>
      <c r="AE3214" s="215"/>
      <c r="AF3214" s="93"/>
      <c r="AG3214" s="93"/>
      <c r="AH3214" s="93"/>
      <c r="AI3214" s="93"/>
      <c r="AJ3214" s="93"/>
    </row>
    <row r="3215" spans="30:36" ht="18">
      <c r="AD3215" s="93"/>
      <c r="AE3215" s="215"/>
      <c r="AF3215" s="93"/>
      <c r="AG3215" s="93"/>
      <c r="AH3215" s="93"/>
      <c r="AI3215" s="93"/>
      <c r="AJ3215" s="93"/>
    </row>
    <row r="3216" spans="30:36" ht="18">
      <c r="AD3216" s="93"/>
      <c r="AE3216" s="214"/>
      <c r="AF3216" s="93"/>
      <c r="AG3216" s="93"/>
      <c r="AH3216" s="93"/>
      <c r="AI3216" s="93"/>
      <c r="AJ3216" s="93"/>
    </row>
    <row r="3217" spans="30:36" ht="18">
      <c r="AD3217" s="93"/>
      <c r="AE3217" s="214"/>
      <c r="AF3217" s="93"/>
      <c r="AG3217" s="93"/>
      <c r="AH3217" s="93"/>
      <c r="AI3217" s="93"/>
      <c r="AJ3217" s="93"/>
    </row>
    <row r="3218" spans="30:36" ht="18">
      <c r="AD3218" s="93"/>
      <c r="AE3218" s="215"/>
      <c r="AF3218" s="93"/>
      <c r="AG3218" s="93"/>
      <c r="AH3218" s="93"/>
      <c r="AI3218" s="93"/>
      <c r="AJ3218" s="93"/>
    </row>
    <row r="3219" spans="30:36" ht="18">
      <c r="AD3219" s="93"/>
      <c r="AE3219" s="214"/>
      <c r="AF3219" s="93"/>
      <c r="AG3219" s="93"/>
      <c r="AH3219" s="93"/>
      <c r="AI3219" s="93"/>
      <c r="AJ3219" s="93"/>
    </row>
    <row r="3220" spans="30:36" ht="18">
      <c r="AD3220" s="93"/>
      <c r="AE3220" s="214"/>
      <c r="AF3220" s="93"/>
      <c r="AG3220" s="93"/>
      <c r="AH3220" s="93"/>
      <c r="AI3220" s="93"/>
      <c r="AJ3220" s="93"/>
    </row>
    <row r="3221" spans="30:36" ht="18">
      <c r="AD3221" s="93"/>
      <c r="AE3221" s="215"/>
      <c r="AF3221" s="93"/>
      <c r="AG3221" s="93"/>
      <c r="AH3221" s="93"/>
      <c r="AI3221" s="93"/>
      <c r="AJ3221" s="93"/>
    </row>
    <row r="3222" spans="30:36" ht="18">
      <c r="AD3222" s="93"/>
      <c r="AE3222" s="214"/>
      <c r="AF3222" s="93"/>
      <c r="AG3222" s="93"/>
      <c r="AH3222" s="93"/>
      <c r="AI3222" s="93"/>
      <c r="AJ3222" s="93"/>
    </row>
    <row r="3223" spans="30:36" ht="18">
      <c r="AD3223" s="93"/>
      <c r="AE3223" s="214"/>
      <c r="AF3223" s="93"/>
      <c r="AG3223" s="93"/>
      <c r="AH3223" s="93"/>
      <c r="AI3223" s="93"/>
      <c r="AJ3223" s="93"/>
    </row>
    <row r="3224" spans="30:36" ht="18">
      <c r="AD3224" s="93"/>
      <c r="AE3224" s="215"/>
      <c r="AF3224" s="93"/>
      <c r="AG3224" s="93"/>
      <c r="AH3224" s="93"/>
      <c r="AI3224" s="93"/>
      <c r="AJ3224" s="93"/>
    </row>
    <row r="3225" spans="30:36" ht="18">
      <c r="AD3225" s="93"/>
      <c r="AE3225" s="214"/>
      <c r="AF3225" s="93"/>
      <c r="AG3225" s="93"/>
      <c r="AH3225" s="93"/>
      <c r="AI3225" s="93"/>
      <c r="AJ3225" s="93"/>
    </row>
    <row r="3226" spans="30:36" ht="18">
      <c r="AD3226" s="93"/>
      <c r="AE3226" s="214"/>
      <c r="AF3226" s="93"/>
      <c r="AG3226" s="93"/>
      <c r="AH3226" s="93"/>
      <c r="AI3226" s="93"/>
      <c r="AJ3226" s="93"/>
    </row>
    <row r="3227" spans="30:36" ht="18">
      <c r="AD3227" s="93"/>
      <c r="AE3227" s="215"/>
      <c r="AF3227" s="93"/>
      <c r="AG3227" s="93"/>
      <c r="AH3227" s="93"/>
      <c r="AI3227" s="93"/>
      <c r="AJ3227" s="93"/>
    </row>
    <row r="3228" spans="30:36" ht="18">
      <c r="AD3228" s="93"/>
      <c r="AE3228" s="214"/>
      <c r="AF3228" s="93"/>
      <c r="AG3228" s="93"/>
      <c r="AH3228" s="93"/>
      <c r="AI3228" s="93"/>
      <c r="AJ3228" s="93"/>
    </row>
    <row r="3229" spans="30:36" ht="18">
      <c r="AD3229" s="93"/>
      <c r="AE3229" s="214"/>
      <c r="AF3229" s="93"/>
      <c r="AG3229" s="93"/>
      <c r="AH3229" s="93"/>
      <c r="AI3229" s="93"/>
      <c r="AJ3229" s="93"/>
    </row>
    <row r="3230" spans="30:36" ht="18">
      <c r="AD3230" s="93"/>
      <c r="AE3230" s="214"/>
      <c r="AF3230" s="93"/>
      <c r="AG3230" s="93"/>
      <c r="AH3230" s="93"/>
      <c r="AI3230" s="93"/>
      <c r="AJ3230" s="93"/>
    </row>
    <row r="3231" spans="30:36" ht="18">
      <c r="AD3231" s="93"/>
      <c r="AE3231" s="214"/>
      <c r="AF3231" s="93"/>
      <c r="AG3231" s="93"/>
      <c r="AH3231" s="93"/>
      <c r="AI3231" s="93"/>
      <c r="AJ3231" s="93"/>
    </row>
    <row r="3232" spans="30:36" ht="18">
      <c r="AD3232" s="93"/>
      <c r="AE3232" s="215"/>
      <c r="AF3232" s="93"/>
      <c r="AG3232" s="93"/>
      <c r="AH3232" s="93"/>
      <c r="AI3232" s="93"/>
      <c r="AJ3232" s="93"/>
    </row>
    <row r="3233" spans="30:36" ht="18">
      <c r="AD3233" s="93"/>
      <c r="AE3233" s="215"/>
      <c r="AF3233" s="93"/>
      <c r="AG3233" s="93"/>
      <c r="AH3233" s="93"/>
      <c r="AI3233" s="93"/>
      <c r="AJ3233" s="93"/>
    </row>
    <row r="3234" spans="30:36" ht="18">
      <c r="AD3234" s="93"/>
      <c r="AE3234" s="214"/>
      <c r="AF3234" s="93"/>
      <c r="AG3234" s="93"/>
      <c r="AH3234" s="93"/>
      <c r="AI3234" s="93"/>
      <c r="AJ3234" s="93"/>
    </row>
    <row r="3235" spans="30:36" ht="18">
      <c r="AD3235" s="93"/>
      <c r="AE3235" s="214"/>
      <c r="AF3235" s="93"/>
      <c r="AG3235" s="93"/>
      <c r="AH3235" s="93"/>
      <c r="AI3235" s="93"/>
      <c r="AJ3235" s="93"/>
    </row>
    <row r="3236" spans="30:36" ht="18">
      <c r="AD3236" s="93"/>
      <c r="AE3236" s="214"/>
      <c r="AF3236" s="93"/>
      <c r="AG3236" s="93"/>
      <c r="AH3236" s="93"/>
      <c r="AI3236" s="93"/>
      <c r="AJ3236" s="93"/>
    </row>
    <row r="3237" spans="30:36" ht="18">
      <c r="AD3237" s="93"/>
      <c r="AE3237" s="215"/>
      <c r="AF3237" s="93"/>
      <c r="AG3237" s="93"/>
      <c r="AH3237" s="93"/>
      <c r="AI3237" s="93"/>
      <c r="AJ3237" s="93"/>
    </row>
    <row r="3238" spans="30:36" ht="18">
      <c r="AD3238" s="93"/>
      <c r="AE3238" s="214"/>
      <c r="AF3238" s="93"/>
      <c r="AG3238" s="93"/>
      <c r="AH3238" s="93"/>
      <c r="AI3238" s="93"/>
      <c r="AJ3238" s="93"/>
    </row>
    <row r="3239" spans="30:36" ht="18">
      <c r="AD3239" s="93"/>
      <c r="AE3239" s="214"/>
      <c r="AF3239" s="93"/>
      <c r="AG3239" s="93"/>
      <c r="AH3239" s="93"/>
      <c r="AI3239" s="93"/>
      <c r="AJ3239" s="93"/>
    </row>
    <row r="3240" spans="30:36" ht="18">
      <c r="AD3240" s="93"/>
      <c r="AE3240" s="214"/>
      <c r="AF3240" s="93"/>
      <c r="AG3240" s="93"/>
      <c r="AH3240" s="93"/>
      <c r="AI3240" s="93"/>
      <c r="AJ3240" s="93"/>
    </row>
    <row r="3241" spans="30:36" ht="18">
      <c r="AD3241" s="93"/>
      <c r="AE3241" s="214"/>
      <c r="AF3241" s="93"/>
      <c r="AG3241" s="93"/>
      <c r="AH3241" s="93"/>
      <c r="AI3241" s="93"/>
      <c r="AJ3241" s="93"/>
    </row>
    <row r="3242" spans="30:36" ht="18">
      <c r="AD3242" s="93"/>
      <c r="AE3242" s="214"/>
      <c r="AF3242" s="93"/>
      <c r="AG3242" s="93"/>
      <c r="AH3242" s="93"/>
      <c r="AI3242" s="93"/>
      <c r="AJ3242" s="93"/>
    </row>
    <row r="3243" spans="30:36" ht="18">
      <c r="AD3243" s="93"/>
      <c r="AE3243" s="214"/>
      <c r="AF3243" s="93"/>
      <c r="AG3243" s="93"/>
      <c r="AH3243" s="93"/>
      <c r="AI3243" s="93"/>
      <c r="AJ3243" s="93"/>
    </row>
    <row r="3244" spans="30:36" ht="18">
      <c r="AD3244" s="93"/>
      <c r="AE3244" s="214"/>
      <c r="AF3244" s="93"/>
      <c r="AG3244" s="93"/>
      <c r="AH3244" s="93"/>
      <c r="AI3244" s="93"/>
      <c r="AJ3244" s="93"/>
    </row>
    <row r="3245" spans="30:36" ht="18">
      <c r="AD3245" s="93"/>
      <c r="AE3245" s="214"/>
      <c r="AF3245" s="93"/>
      <c r="AG3245" s="93"/>
      <c r="AH3245" s="93"/>
      <c r="AI3245" s="93"/>
      <c r="AJ3245" s="93"/>
    </row>
    <row r="3246" spans="30:36" ht="18">
      <c r="AD3246" s="93"/>
      <c r="AE3246" s="214"/>
      <c r="AF3246" s="93"/>
      <c r="AG3246" s="93"/>
      <c r="AH3246" s="93"/>
      <c r="AI3246" s="93"/>
      <c r="AJ3246" s="93"/>
    </row>
    <row r="3247" spans="30:36" ht="18">
      <c r="AD3247" s="93"/>
      <c r="AE3247" s="215"/>
      <c r="AF3247" s="93"/>
      <c r="AG3247" s="93"/>
      <c r="AH3247" s="93"/>
      <c r="AI3247" s="93"/>
      <c r="AJ3247" s="93"/>
    </row>
    <row r="3248" spans="30:36" ht="18">
      <c r="AD3248" s="93"/>
      <c r="AE3248" s="215"/>
      <c r="AF3248" s="93"/>
      <c r="AG3248" s="93"/>
      <c r="AH3248" s="93"/>
      <c r="AI3248" s="93"/>
      <c r="AJ3248" s="93"/>
    </row>
    <row r="3249" spans="30:36" ht="18">
      <c r="AD3249" s="93"/>
      <c r="AE3249" s="214"/>
      <c r="AF3249" s="93"/>
      <c r="AG3249" s="93"/>
      <c r="AH3249" s="93"/>
      <c r="AI3249" s="93"/>
      <c r="AJ3249" s="93"/>
    </row>
    <row r="3250" spans="30:36" ht="18">
      <c r="AD3250" s="93"/>
      <c r="AE3250" s="214"/>
      <c r="AF3250" s="93"/>
      <c r="AG3250" s="93"/>
      <c r="AH3250" s="93"/>
      <c r="AI3250" s="93"/>
      <c r="AJ3250" s="93"/>
    </row>
    <row r="3251" spans="30:36" ht="18">
      <c r="AD3251" s="93"/>
      <c r="AE3251" s="214"/>
      <c r="AF3251" s="93"/>
      <c r="AG3251" s="93"/>
      <c r="AH3251" s="93"/>
      <c r="AI3251" s="93"/>
      <c r="AJ3251" s="93"/>
    </row>
    <row r="3252" spans="30:36" ht="18">
      <c r="AD3252" s="93"/>
      <c r="AE3252" s="215"/>
      <c r="AF3252" s="93"/>
      <c r="AG3252" s="93"/>
      <c r="AH3252" s="93"/>
      <c r="AI3252" s="93"/>
      <c r="AJ3252" s="93"/>
    </row>
    <row r="3253" spans="30:36" ht="18">
      <c r="AD3253" s="93"/>
      <c r="AE3253" s="214"/>
      <c r="AF3253" s="93"/>
      <c r="AG3253" s="93"/>
      <c r="AH3253" s="93"/>
      <c r="AI3253" s="93"/>
      <c r="AJ3253" s="93"/>
    </row>
    <row r="3254" spans="30:36" ht="18">
      <c r="AD3254" s="93"/>
      <c r="AE3254" s="214"/>
      <c r="AF3254" s="93"/>
      <c r="AG3254" s="93"/>
      <c r="AH3254" s="93"/>
      <c r="AI3254" s="93"/>
      <c r="AJ3254" s="93"/>
    </row>
    <row r="3255" spans="30:36" ht="18">
      <c r="AD3255" s="93"/>
      <c r="AE3255" s="214"/>
      <c r="AF3255" s="93"/>
      <c r="AG3255" s="93"/>
      <c r="AH3255" s="93"/>
      <c r="AI3255" s="93"/>
      <c r="AJ3255" s="93"/>
    </row>
    <row r="3256" spans="30:36" ht="18">
      <c r="AD3256" s="93"/>
      <c r="AE3256" s="214"/>
      <c r="AF3256" s="93"/>
      <c r="AG3256" s="93"/>
      <c r="AH3256" s="93"/>
      <c r="AI3256" s="93"/>
      <c r="AJ3256" s="93"/>
    </row>
    <row r="3257" spans="30:36" ht="18">
      <c r="AD3257" s="93"/>
      <c r="AE3257" s="214"/>
      <c r="AF3257" s="93"/>
      <c r="AG3257" s="93"/>
      <c r="AH3257" s="93"/>
      <c r="AI3257" s="93"/>
      <c r="AJ3257" s="93"/>
    </row>
    <row r="3258" spans="30:36" ht="18">
      <c r="AD3258" s="93"/>
      <c r="AE3258" s="214"/>
      <c r="AF3258" s="93"/>
      <c r="AG3258" s="93"/>
      <c r="AH3258" s="93"/>
      <c r="AI3258" s="93"/>
      <c r="AJ3258" s="93"/>
    </row>
    <row r="3259" spans="30:36" ht="18">
      <c r="AD3259" s="93"/>
      <c r="AE3259" s="214"/>
      <c r="AF3259" s="93"/>
      <c r="AG3259" s="93"/>
      <c r="AH3259" s="93"/>
      <c r="AI3259" s="93"/>
      <c r="AJ3259" s="93"/>
    </row>
    <row r="3260" spans="30:36" ht="18">
      <c r="AD3260" s="93"/>
      <c r="AE3260" s="214"/>
      <c r="AF3260" s="93"/>
      <c r="AG3260" s="93"/>
      <c r="AH3260" s="93"/>
      <c r="AI3260" s="93"/>
      <c r="AJ3260" s="93"/>
    </row>
    <row r="3261" spans="30:36" ht="18">
      <c r="AD3261" s="93"/>
      <c r="AE3261" s="214"/>
      <c r="AF3261" s="93"/>
      <c r="AG3261" s="93"/>
      <c r="AH3261" s="93"/>
      <c r="AI3261" s="93"/>
      <c r="AJ3261" s="93"/>
    </row>
    <row r="3262" spans="30:36" ht="18">
      <c r="AD3262" s="93"/>
      <c r="AE3262" s="214"/>
      <c r="AF3262" s="93"/>
      <c r="AG3262" s="93"/>
      <c r="AH3262" s="93"/>
      <c r="AI3262" s="93"/>
      <c r="AJ3262" s="93"/>
    </row>
    <row r="3263" spans="30:36" ht="18">
      <c r="AD3263" s="93"/>
      <c r="AE3263" s="214"/>
      <c r="AF3263" s="93"/>
      <c r="AG3263" s="93"/>
      <c r="AH3263" s="93"/>
      <c r="AI3263" s="93"/>
      <c r="AJ3263" s="93"/>
    </row>
    <row r="3264" spans="30:36" ht="18">
      <c r="AD3264" s="93"/>
      <c r="AE3264" s="214"/>
      <c r="AF3264" s="93"/>
      <c r="AG3264" s="93"/>
      <c r="AH3264" s="93"/>
      <c r="AI3264" s="93"/>
      <c r="AJ3264" s="93"/>
    </row>
    <row r="3265" spans="30:36" ht="18">
      <c r="AD3265" s="93"/>
      <c r="AE3265" s="214"/>
      <c r="AF3265" s="93"/>
      <c r="AG3265" s="93"/>
      <c r="AH3265" s="93"/>
      <c r="AI3265" s="93"/>
      <c r="AJ3265" s="93"/>
    </row>
    <row r="3266" spans="30:36" ht="18">
      <c r="AD3266" s="93"/>
      <c r="AE3266" s="214"/>
      <c r="AF3266" s="93"/>
      <c r="AG3266" s="93"/>
      <c r="AH3266" s="93"/>
      <c r="AI3266" s="93"/>
      <c r="AJ3266" s="93"/>
    </row>
    <row r="3267" spans="30:36" ht="18">
      <c r="AD3267" s="93"/>
      <c r="AE3267" s="214"/>
      <c r="AF3267" s="93"/>
      <c r="AG3267" s="93"/>
      <c r="AH3267" s="93"/>
      <c r="AI3267" s="93"/>
      <c r="AJ3267" s="93"/>
    </row>
    <row r="3268" spans="30:36" ht="18">
      <c r="AD3268" s="93"/>
      <c r="AE3268" s="214"/>
      <c r="AF3268" s="93"/>
      <c r="AG3268" s="93"/>
      <c r="AH3268" s="93"/>
      <c r="AI3268" s="93"/>
      <c r="AJ3268" s="93"/>
    </row>
    <row r="3269" spans="30:36" ht="18">
      <c r="AD3269" s="93"/>
      <c r="AE3269" s="214"/>
      <c r="AF3269" s="93"/>
      <c r="AG3269" s="93"/>
      <c r="AH3269" s="93"/>
      <c r="AI3269" s="93"/>
      <c r="AJ3269" s="93"/>
    </row>
    <row r="3270" spans="30:36" ht="18">
      <c r="AD3270" s="93"/>
      <c r="AE3270" s="214"/>
      <c r="AF3270" s="93"/>
      <c r="AG3270" s="93"/>
      <c r="AH3270" s="93"/>
      <c r="AI3270" s="93"/>
      <c r="AJ3270" s="93"/>
    </row>
    <row r="3271" spans="30:36" ht="18">
      <c r="AD3271" s="93"/>
      <c r="AE3271" s="214"/>
      <c r="AF3271" s="93"/>
      <c r="AG3271" s="93"/>
      <c r="AH3271" s="93"/>
      <c r="AI3271" s="93"/>
      <c r="AJ3271" s="93"/>
    </row>
    <row r="3272" spans="30:36" ht="18">
      <c r="AD3272" s="93"/>
      <c r="AE3272" s="214"/>
      <c r="AF3272" s="93"/>
      <c r="AG3272" s="93"/>
      <c r="AH3272" s="93"/>
      <c r="AI3272" s="93"/>
      <c r="AJ3272" s="93"/>
    </row>
    <row r="3273" spans="30:36" ht="18">
      <c r="AD3273" s="93"/>
      <c r="AE3273" s="214"/>
      <c r="AF3273" s="93"/>
      <c r="AG3273" s="93"/>
      <c r="AH3273" s="93"/>
      <c r="AI3273" s="93"/>
      <c r="AJ3273" s="93"/>
    </row>
    <row r="3274" spans="30:36" ht="18">
      <c r="AD3274" s="93"/>
      <c r="AE3274" s="214"/>
      <c r="AF3274" s="93"/>
      <c r="AG3274" s="93"/>
      <c r="AH3274" s="93"/>
      <c r="AI3274" s="93"/>
      <c r="AJ3274" s="93"/>
    </row>
    <row r="3275" spans="30:36" ht="18">
      <c r="AD3275" s="93"/>
      <c r="AE3275" s="214"/>
      <c r="AF3275" s="93"/>
      <c r="AG3275" s="93"/>
      <c r="AH3275" s="93"/>
      <c r="AI3275" s="93"/>
      <c r="AJ3275" s="93"/>
    </row>
    <row r="3276" spans="30:36" ht="18">
      <c r="AD3276" s="93"/>
      <c r="AE3276" s="214"/>
      <c r="AF3276" s="93"/>
      <c r="AG3276" s="93"/>
      <c r="AH3276" s="93"/>
      <c r="AI3276" s="93"/>
      <c r="AJ3276" s="93"/>
    </row>
    <row r="3277" spans="30:36" ht="18">
      <c r="AD3277" s="93"/>
      <c r="AE3277" s="215"/>
      <c r="AF3277" s="93"/>
      <c r="AG3277" s="93"/>
      <c r="AH3277" s="93"/>
      <c r="AI3277" s="93"/>
      <c r="AJ3277" s="93"/>
    </row>
    <row r="3278" spans="30:36" ht="18">
      <c r="AD3278" s="93"/>
      <c r="AE3278" s="215"/>
      <c r="AF3278" s="93"/>
      <c r="AG3278" s="93"/>
      <c r="AH3278" s="93"/>
      <c r="AI3278" s="93"/>
      <c r="AJ3278" s="93"/>
    </row>
    <row r="3279" spans="30:36" ht="18">
      <c r="AD3279" s="93"/>
      <c r="AE3279" s="214"/>
      <c r="AF3279" s="93"/>
      <c r="AG3279" s="93"/>
      <c r="AH3279" s="93"/>
      <c r="AI3279" s="93"/>
      <c r="AJ3279" s="93"/>
    </row>
    <row r="3280" spans="30:36" ht="18">
      <c r="AD3280" s="93"/>
      <c r="AE3280" s="214"/>
      <c r="AF3280" s="93"/>
      <c r="AG3280" s="93"/>
      <c r="AH3280" s="93"/>
      <c r="AI3280" s="93"/>
      <c r="AJ3280" s="93"/>
    </row>
    <row r="3281" spans="30:36" ht="18">
      <c r="AD3281" s="93"/>
      <c r="AE3281" s="214"/>
      <c r="AF3281" s="93"/>
      <c r="AG3281" s="93"/>
      <c r="AH3281" s="93"/>
      <c r="AI3281" s="93"/>
      <c r="AJ3281" s="93"/>
    </row>
    <row r="3282" spans="30:36" ht="18">
      <c r="AD3282" s="93"/>
      <c r="AE3282" s="214"/>
      <c r="AF3282" s="93"/>
      <c r="AG3282" s="93"/>
      <c r="AH3282" s="93"/>
      <c r="AI3282" s="93"/>
      <c r="AJ3282" s="93"/>
    </row>
    <row r="3283" spans="30:36" ht="18">
      <c r="AD3283" s="93"/>
      <c r="AE3283" s="214"/>
      <c r="AF3283" s="93"/>
      <c r="AG3283" s="93"/>
      <c r="AH3283" s="93"/>
      <c r="AI3283" s="93"/>
      <c r="AJ3283" s="93"/>
    </row>
    <row r="3284" spans="30:36" ht="18">
      <c r="AD3284" s="93"/>
      <c r="AE3284" s="214"/>
      <c r="AF3284" s="93"/>
      <c r="AG3284" s="93"/>
      <c r="AH3284" s="93"/>
      <c r="AI3284" s="93"/>
      <c r="AJ3284" s="93"/>
    </row>
    <row r="3285" spans="30:36" ht="18">
      <c r="AD3285" s="93"/>
      <c r="AE3285" s="214"/>
      <c r="AF3285" s="93"/>
      <c r="AG3285" s="93"/>
      <c r="AH3285" s="93"/>
      <c r="AI3285" s="93"/>
      <c r="AJ3285" s="93"/>
    </row>
    <row r="3286" spans="30:36" ht="18">
      <c r="AD3286" s="93"/>
      <c r="AE3286" s="214"/>
      <c r="AF3286" s="93"/>
      <c r="AG3286" s="93"/>
      <c r="AH3286" s="93"/>
      <c r="AI3286" s="93"/>
      <c r="AJ3286" s="93"/>
    </row>
    <row r="3287" spans="30:36" ht="18">
      <c r="AD3287" s="93"/>
      <c r="AE3287" s="214"/>
      <c r="AF3287" s="93"/>
      <c r="AG3287" s="93"/>
      <c r="AH3287" s="93"/>
      <c r="AI3287" s="93"/>
      <c r="AJ3287" s="93"/>
    </row>
    <row r="3288" spans="30:36" ht="18">
      <c r="AD3288" s="93"/>
      <c r="AE3288" s="214"/>
      <c r="AF3288" s="93"/>
      <c r="AG3288" s="93"/>
      <c r="AH3288" s="93"/>
      <c r="AI3288" s="93"/>
      <c r="AJ3288" s="93"/>
    </row>
    <row r="3289" spans="30:36" ht="18">
      <c r="AD3289" s="93"/>
      <c r="AE3289" s="214"/>
      <c r="AF3289" s="93"/>
      <c r="AG3289" s="93"/>
      <c r="AH3289" s="93"/>
      <c r="AI3289" s="93"/>
      <c r="AJ3289" s="93"/>
    </row>
    <row r="3290" spans="30:36" ht="18">
      <c r="AD3290" s="93"/>
      <c r="AE3290" s="214"/>
      <c r="AF3290" s="93"/>
      <c r="AG3290" s="93"/>
      <c r="AH3290" s="93"/>
      <c r="AI3290" s="93"/>
      <c r="AJ3290" s="93"/>
    </row>
    <row r="3291" spans="30:36" ht="18">
      <c r="AD3291" s="93"/>
      <c r="AE3291" s="214"/>
      <c r="AF3291" s="93"/>
      <c r="AG3291" s="93"/>
      <c r="AH3291" s="93"/>
      <c r="AI3291" s="93"/>
      <c r="AJ3291" s="93"/>
    </row>
    <row r="3292" spans="30:36" ht="18">
      <c r="AD3292" s="93"/>
      <c r="AE3292" s="214"/>
      <c r="AF3292" s="93"/>
      <c r="AG3292" s="93"/>
      <c r="AH3292" s="93"/>
      <c r="AI3292" s="93"/>
      <c r="AJ3292" s="93"/>
    </row>
    <row r="3293" spans="30:36" ht="18">
      <c r="AD3293" s="93"/>
      <c r="AE3293" s="214"/>
      <c r="AF3293" s="93"/>
      <c r="AG3293" s="93"/>
      <c r="AH3293" s="93"/>
      <c r="AI3293" s="93"/>
      <c r="AJ3293" s="93"/>
    </row>
    <row r="3294" spans="30:36" ht="18">
      <c r="AD3294" s="93"/>
      <c r="AE3294" s="214"/>
      <c r="AF3294" s="93"/>
      <c r="AG3294" s="93"/>
      <c r="AH3294" s="93"/>
      <c r="AI3294" s="93"/>
      <c r="AJ3294" s="93"/>
    </row>
    <row r="3295" spans="30:36" ht="18">
      <c r="AD3295" s="93"/>
      <c r="AE3295" s="214"/>
      <c r="AF3295" s="93"/>
      <c r="AG3295" s="93"/>
      <c r="AH3295" s="93"/>
      <c r="AI3295" s="93"/>
      <c r="AJ3295" s="93"/>
    </row>
    <row r="3296" spans="30:36" ht="18">
      <c r="AD3296" s="93"/>
      <c r="AE3296" s="214"/>
      <c r="AF3296" s="93"/>
      <c r="AG3296" s="93"/>
      <c r="AH3296" s="93"/>
      <c r="AI3296" s="93"/>
      <c r="AJ3296" s="93"/>
    </row>
    <row r="3297" spans="30:36" ht="18">
      <c r="AD3297" s="93"/>
      <c r="AE3297" s="215"/>
      <c r="AF3297" s="93"/>
      <c r="AG3297" s="93"/>
      <c r="AH3297" s="93"/>
      <c r="AI3297" s="93"/>
      <c r="AJ3297" s="93"/>
    </row>
    <row r="3298" spans="30:36" ht="18">
      <c r="AD3298" s="93"/>
      <c r="AE3298" s="214"/>
      <c r="AF3298" s="93"/>
      <c r="AG3298" s="93"/>
      <c r="AH3298" s="93"/>
      <c r="AI3298" s="93"/>
      <c r="AJ3298" s="93"/>
    </row>
    <row r="3299" spans="30:36" ht="18">
      <c r="AD3299" s="93"/>
      <c r="AE3299" s="214"/>
      <c r="AF3299" s="93"/>
      <c r="AG3299" s="93"/>
      <c r="AH3299" s="93"/>
      <c r="AI3299" s="93"/>
      <c r="AJ3299" s="93"/>
    </row>
    <row r="3300" spans="30:36" ht="18">
      <c r="AD3300" s="93"/>
      <c r="AE3300" s="214"/>
      <c r="AF3300" s="93"/>
      <c r="AG3300" s="93"/>
      <c r="AH3300" s="93"/>
      <c r="AI3300" s="93"/>
      <c r="AJ3300" s="93"/>
    </row>
    <row r="3301" spans="30:36" ht="18">
      <c r="AD3301" s="93"/>
      <c r="AE3301" s="214"/>
      <c r="AF3301" s="93"/>
      <c r="AG3301" s="93"/>
      <c r="AH3301" s="93"/>
      <c r="AI3301" s="93"/>
      <c r="AJ3301" s="93"/>
    </row>
    <row r="3302" spans="30:36" ht="18">
      <c r="AD3302" s="93"/>
      <c r="AE3302" s="214"/>
      <c r="AF3302" s="93"/>
      <c r="AG3302" s="93"/>
      <c r="AH3302" s="93"/>
      <c r="AI3302" s="93"/>
      <c r="AJ3302" s="93"/>
    </row>
    <row r="3303" spans="30:36" ht="18">
      <c r="AD3303" s="93"/>
      <c r="AE3303" s="214"/>
      <c r="AF3303" s="93"/>
      <c r="AG3303" s="93"/>
      <c r="AH3303" s="93"/>
      <c r="AI3303" s="93"/>
      <c r="AJ3303" s="93"/>
    </row>
    <row r="3304" spans="30:36" ht="18">
      <c r="AD3304" s="93"/>
      <c r="AE3304" s="214"/>
      <c r="AF3304" s="93"/>
      <c r="AG3304" s="93"/>
      <c r="AH3304" s="93"/>
      <c r="AI3304" s="93"/>
      <c r="AJ3304" s="93"/>
    </row>
    <row r="3305" spans="30:36" ht="18">
      <c r="AD3305" s="93"/>
      <c r="AE3305" s="214"/>
      <c r="AF3305" s="93"/>
      <c r="AG3305" s="93"/>
      <c r="AH3305" s="93"/>
      <c r="AI3305" s="93"/>
      <c r="AJ3305" s="93"/>
    </row>
    <row r="3306" spans="30:36" ht="18">
      <c r="AD3306" s="93"/>
      <c r="AE3306" s="214"/>
      <c r="AF3306" s="93"/>
      <c r="AG3306" s="93"/>
      <c r="AH3306" s="93"/>
      <c r="AI3306" s="93"/>
      <c r="AJ3306" s="93"/>
    </row>
    <row r="3307" spans="30:36" ht="18">
      <c r="AD3307" s="93"/>
      <c r="AE3307" s="214"/>
      <c r="AF3307" s="93"/>
      <c r="AG3307" s="93"/>
      <c r="AH3307" s="93"/>
      <c r="AI3307" s="93"/>
      <c r="AJ3307" s="93"/>
    </row>
    <row r="3308" spans="30:36" ht="18">
      <c r="AD3308" s="93"/>
      <c r="AE3308" s="215"/>
      <c r="AF3308" s="93"/>
      <c r="AG3308" s="93"/>
      <c r="AH3308" s="93"/>
      <c r="AI3308" s="93"/>
      <c r="AJ3308" s="93"/>
    </row>
    <row r="3309" spans="30:36" ht="18">
      <c r="AD3309" s="93"/>
      <c r="AE3309" s="215"/>
      <c r="AF3309" s="93"/>
      <c r="AG3309" s="93"/>
      <c r="AH3309" s="93"/>
      <c r="AI3309" s="93"/>
      <c r="AJ3309" s="93"/>
    </row>
    <row r="3310" spans="30:36" ht="18">
      <c r="AD3310" s="93"/>
      <c r="AE3310" s="214"/>
      <c r="AF3310" s="93"/>
      <c r="AG3310" s="93"/>
      <c r="AH3310" s="93"/>
      <c r="AI3310" s="93"/>
      <c r="AJ3310" s="93"/>
    </row>
    <row r="3311" spans="30:36" ht="18">
      <c r="AD3311" s="93"/>
      <c r="AE3311" s="214"/>
      <c r="AF3311" s="93"/>
      <c r="AG3311" s="93"/>
      <c r="AH3311" s="93"/>
      <c r="AI3311" s="93"/>
      <c r="AJ3311" s="93"/>
    </row>
    <row r="3312" spans="30:36" ht="18">
      <c r="AD3312" s="93"/>
      <c r="AE3312" s="214"/>
      <c r="AF3312" s="93"/>
      <c r="AG3312" s="93"/>
      <c r="AH3312" s="93"/>
      <c r="AI3312" s="93"/>
      <c r="AJ3312" s="93"/>
    </row>
    <row r="3313" spans="30:36" ht="18">
      <c r="AD3313" s="93"/>
      <c r="AE3313" s="215"/>
      <c r="AF3313" s="93"/>
      <c r="AG3313" s="93"/>
      <c r="AH3313" s="93"/>
      <c r="AI3313" s="93"/>
      <c r="AJ3313" s="93"/>
    </row>
    <row r="3314" spans="30:36" ht="18">
      <c r="AD3314" s="93"/>
      <c r="AE3314" s="214"/>
      <c r="AF3314" s="93"/>
      <c r="AG3314" s="93"/>
      <c r="AH3314" s="93"/>
      <c r="AI3314" s="93"/>
      <c r="AJ3314" s="93"/>
    </row>
    <row r="3315" spans="30:36" ht="18">
      <c r="AD3315" s="93"/>
      <c r="AE3315" s="214"/>
      <c r="AF3315" s="93"/>
      <c r="AG3315" s="93"/>
      <c r="AH3315" s="93"/>
      <c r="AI3315" s="93"/>
      <c r="AJ3315" s="93"/>
    </row>
    <row r="3316" spans="30:36" ht="18">
      <c r="AD3316" s="93"/>
      <c r="AE3316" s="214"/>
      <c r="AF3316" s="93"/>
      <c r="AG3316" s="93"/>
      <c r="AH3316" s="93"/>
      <c r="AI3316" s="93"/>
      <c r="AJ3316" s="93"/>
    </row>
    <row r="3317" spans="30:36" ht="18">
      <c r="AD3317" s="93"/>
      <c r="AE3317" s="214"/>
      <c r="AF3317" s="93"/>
      <c r="AG3317" s="93"/>
      <c r="AH3317" s="93"/>
      <c r="AI3317" s="93"/>
      <c r="AJ3317" s="93"/>
    </row>
    <row r="3318" spans="30:36" ht="18">
      <c r="AD3318" s="93"/>
      <c r="AE3318" s="214"/>
      <c r="AF3318" s="93"/>
      <c r="AG3318" s="93"/>
      <c r="AH3318" s="93"/>
      <c r="AI3318" s="93"/>
      <c r="AJ3318" s="93"/>
    </row>
    <row r="3319" spans="30:36" ht="18">
      <c r="AD3319" s="93"/>
      <c r="AE3319" s="214"/>
      <c r="AF3319" s="93"/>
      <c r="AG3319" s="93"/>
      <c r="AH3319" s="93"/>
      <c r="AI3319" s="93"/>
      <c r="AJ3319" s="93"/>
    </row>
    <row r="3320" spans="30:36" ht="18">
      <c r="AD3320" s="93"/>
      <c r="AE3320" s="214"/>
      <c r="AF3320" s="93"/>
      <c r="AG3320" s="93"/>
      <c r="AH3320" s="93"/>
      <c r="AI3320" s="93"/>
      <c r="AJ3320" s="93"/>
    </row>
    <row r="3321" spans="30:36" ht="18">
      <c r="AD3321" s="93"/>
      <c r="AE3321" s="215"/>
      <c r="AF3321" s="93"/>
      <c r="AG3321" s="93"/>
      <c r="AH3321" s="93"/>
      <c r="AI3321" s="93"/>
      <c r="AJ3321" s="93"/>
    </row>
    <row r="3322" spans="30:36" ht="18">
      <c r="AD3322" s="93"/>
      <c r="AE3322" s="214"/>
      <c r="AF3322" s="93"/>
      <c r="AG3322" s="93"/>
      <c r="AH3322" s="93"/>
      <c r="AI3322" s="93"/>
      <c r="AJ3322" s="93"/>
    </row>
    <row r="3323" spans="30:36" ht="18">
      <c r="AD3323" s="93"/>
      <c r="AE3323" s="214"/>
      <c r="AF3323" s="93"/>
      <c r="AG3323" s="93"/>
      <c r="AH3323" s="93"/>
      <c r="AI3323" s="93"/>
      <c r="AJ3323" s="93"/>
    </row>
    <row r="3324" spans="30:36" ht="18">
      <c r="AD3324" s="93"/>
      <c r="AE3324" s="215"/>
      <c r="AF3324" s="93"/>
      <c r="AG3324" s="93"/>
      <c r="AH3324" s="93"/>
      <c r="AI3324" s="93"/>
      <c r="AJ3324" s="93"/>
    </row>
    <row r="3325" spans="30:36" ht="18">
      <c r="AD3325" s="93"/>
      <c r="AE3325" s="214"/>
      <c r="AF3325" s="93"/>
      <c r="AG3325" s="93"/>
      <c r="AH3325" s="93"/>
      <c r="AI3325" s="93"/>
      <c r="AJ3325" s="93"/>
    </row>
    <row r="3326" spans="30:36" ht="18">
      <c r="AD3326" s="93"/>
      <c r="AE3326" s="214"/>
      <c r="AF3326" s="93"/>
      <c r="AG3326" s="93"/>
      <c r="AH3326" s="93"/>
      <c r="AI3326" s="93"/>
      <c r="AJ3326" s="93"/>
    </row>
    <row r="3327" spans="30:36" ht="18">
      <c r="AD3327" s="93"/>
      <c r="AE3327" s="214"/>
      <c r="AF3327" s="93"/>
      <c r="AG3327" s="93"/>
      <c r="AH3327" s="93"/>
      <c r="AI3327" s="93"/>
      <c r="AJ3327" s="93"/>
    </row>
    <row r="3328" spans="30:36" ht="18">
      <c r="AD3328" s="93"/>
      <c r="AE3328" s="214"/>
      <c r="AF3328" s="93"/>
      <c r="AG3328" s="93"/>
      <c r="AH3328" s="93"/>
      <c r="AI3328" s="93"/>
      <c r="AJ3328" s="93"/>
    </row>
    <row r="3329" spans="30:36" ht="18">
      <c r="AD3329" s="93"/>
      <c r="AE3329" s="214"/>
      <c r="AF3329" s="93"/>
      <c r="AG3329" s="93"/>
      <c r="AH3329" s="93"/>
      <c r="AI3329" s="93"/>
      <c r="AJ3329" s="93"/>
    </row>
    <row r="3330" spans="30:36" ht="18">
      <c r="AD3330" s="93"/>
      <c r="AE3330" s="214"/>
      <c r="AF3330" s="93"/>
      <c r="AG3330" s="93"/>
      <c r="AH3330" s="93"/>
      <c r="AI3330" s="93"/>
      <c r="AJ3330" s="93"/>
    </row>
    <row r="3331" spans="30:36" ht="18">
      <c r="AD3331" s="93"/>
      <c r="AE3331" s="214"/>
      <c r="AF3331" s="93"/>
      <c r="AG3331" s="93"/>
      <c r="AH3331" s="93"/>
      <c r="AI3331" s="93"/>
      <c r="AJ3331" s="93"/>
    </row>
    <row r="3332" spans="30:36" ht="18">
      <c r="AD3332" s="93"/>
      <c r="AE3332" s="214"/>
      <c r="AF3332" s="93"/>
      <c r="AG3332" s="93"/>
      <c r="AH3332" s="93"/>
      <c r="AI3332" s="93"/>
      <c r="AJ3332" s="93"/>
    </row>
    <row r="3333" spans="30:36" ht="18">
      <c r="AD3333" s="93"/>
      <c r="AE3333" s="214"/>
      <c r="AF3333" s="93"/>
      <c r="AG3333" s="93"/>
      <c r="AH3333" s="93"/>
      <c r="AI3333" s="93"/>
      <c r="AJ3333" s="93"/>
    </row>
    <row r="3334" spans="30:36" ht="18">
      <c r="AD3334" s="93"/>
      <c r="AE3334" s="214"/>
      <c r="AF3334" s="93"/>
      <c r="AG3334" s="93"/>
      <c r="AH3334" s="93"/>
      <c r="AI3334" s="93"/>
      <c r="AJ3334" s="93"/>
    </row>
    <row r="3335" spans="30:36" ht="18">
      <c r="AD3335" s="93"/>
      <c r="AE3335" s="214"/>
      <c r="AF3335" s="93"/>
      <c r="AG3335" s="93"/>
      <c r="AH3335" s="93"/>
      <c r="AI3335" s="93"/>
      <c r="AJ3335" s="93"/>
    </row>
    <row r="3336" spans="30:36" ht="18">
      <c r="AD3336" s="93"/>
      <c r="AE3336" s="214"/>
      <c r="AF3336" s="93"/>
      <c r="AG3336" s="93"/>
      <c r="AH3336" s="93"/>
      <c r="AI3336" s="93"/>
      <c r="AJ3336" s="93"/>
    </row>
    <row r="3337" spans="30:36" ht="18">
      <c r="AD3337" s="93"/>
      <c r="AE3337" s="214"/>
      <c r="AF3337" s="93"/>
      <c r="AG3337" s="93"/>
      <c r="AH3337" s="93"/>
      <c r="AI3337" s="93"/>
      <c r="AJ3337" s="93"/>
    </row>
    <row r="3338" spans="30:36" ht="18">
      <c r="AD3338" s="93"/>
      <c r="AE3338" s="214"/>
      <c r="AF3338" s="93"/>
      <c r="AG3338" s="93"/>
      <c r="AH3338" s="93"/>
      <c r="AI3338" s="93"/>
      <c r="AJ3338" s="93"/>
    </row>
    <row r="3339" spans="30:36" ht="18">
      <c r="AD3339" s="93"/>
      <c r="AE3339" s="214"/>
      <c r="AF3339" s="93"/>
      <c r="AG3339" s="93"/>
      <c r="AH3339" s="93"/>
      <c r="AI3339" s="93"/>
      <c r="AJ3339" s="93"/>
    </row>
    <row r="3340" spans="30:36" ht="18">
      <c r="AD3340" s="93"/>
      <c r="AE3340" s="214"/>
      <c r="AF3340" s="93"/>
      <c r="AG3340" s="93"/>
      <c r="AH3340" s="93"/>
      <c r="AI3340" s="93"/>
      <c r="AJ3340" s="93"/>
    </row>
    <row r="3341" spans="30:36" ht="18">
      <c r="AD3341" s="93"/>
      <c r="AE3341" s="214"/>
      <c r="AF3341" s="93"/>
      <c r="AG3341" s="93"/>
      <c r="AH3341" s="93"/>
      <c r="AI3341" s="93"/>
      <c r="AJ3341" s="93"/>
    </row>
    <row r="3342" spans="30:36" ht="18">
      <c r="AD3342" s="93"/>
      <c r="AE3342" s="214"/>
      <c r="AF3342" s="93"/>
      <c r="AG3342" s="93"/>
      <c r="AH3342" s="93"/>
      <c r="AI3342" s="93"/>
      <c r="AJ3342" s="93"/>
    </row>
    <row r="3343" spans="30:36" ht="18">
      <c r="AD3343" s="93"/>
      <c r="AE3343" s="214"/>
      <c r="AF3343" s="93"/>
      <c r="AG3343" s="93"/>
      <c r="AH3343" s="93"/>
      <c r="AI3343" s="93"/>
      <c r="AJ3343" s="93"/>
    </row>
    <row r="3344" spans="30:36" ht="18">
      <c r="AD3344" s="93"/>
      <c r="AE3344" s="214"/>
      <c r="AF3344" s="93"/>
      <c r="AG3344" s="93"/>
      <c r="AH3344" s="93"/>
      <c r="AI3344" s="93"/>
      <c r="AJ3344" s="93"/>
    </row>
    <row r="3345" spans="30:36" ht="18">
      <c r="AD3345" s="93"/>
      <c r="AE3345" s="214"/>
      <c r="AF3345" s="93"/>
      <c r="AG3345" s="93"/>
      <c r="AH3345" s="93"/>
      <c r="AI3345" s="93"/>
      <c r="AJ3345" s="93"/>
    </row>
    <row r="3346" spans="30:36" ht="18">
      <c r="AD3346" s="93"/>
      <c r="AE3346" s="214"/>
      <c r="AF3346" s="93"/>
      <c r="AG3346" s="93"/>
      <c r="AH3346" s="93"/>
      <c r="AI3346" s="93"/>
      <c r="AJ3346" s="93"/>
    </row>
    <row r="3347" spans="30:36" ht="18">
      <c r="AD3347" s="93"/>
      <c r="AE3347" s="214"/>
      <c r="AF3347" s="93"/>
      <c r="AG3347" s="93"/>
      <c r="AH3347" s="93"/>
      <c r="AI3347" s="93"/>
      <c r="AJ3347" s="93"/>
    </row>
    <row r="3348" spans="30:36" ht="18">
      <c r="AD3348" s="93"/>
      <c r="AE3348" s="214"/>
      <c r="AF3348" s="93"/>
      <c r="AG3348" s="93"/>
      <c r="AH3348" s="93"/>
      <c r="AI3348" s="93"/>
      <c r="AJ3348" s="93"/>
    </row>
    <row r="3349" spans="30:36" ht="18">
      <c r="AD3349" s="93"/>
      <c r="AE3349" s="214"/>
      <c r="AF3349" s="93"/>
      <c r="AG3349" s="93"/>
      <c r="AH3349" s="93"/>
      <c r="AI3349" s="93"/>
      <c r="AJ3349" s="93"/>
    </row>
    <row r="3350" spans="30:36" ht="18">
      <c r="AD3350" s="93"/>
      <c r="AE3350" s="214"/>
      <c r="AF3350" s="93"/>
      <c r="AG3350" s="93"/>
      <c r="AH3350" s="93"/>
      <c r="AI3350" s="93"/>
      <c r="AJ3350" s="93"/>
    </row>
    <row r="3351" spans="30:36" ht="18">
      <c r="AD3351" s="93"/>
      <c r="AE3351" s="214"/>
      <c r="AF3351" s="93"/>
      <c r="AG3351" s="93"/>
      <c r="AH3351" s="93"/>
      <c r="AI3351" s="93"/>
      <c r="AJ3351" s="93"/>
    </row>
    <row r="3352" spans="30:36" ht="18">
      <c r="AD3352" s="93"/>
      <c r="AE3352" s="215"/>
      <c r="AF3352" s="93"/>
      <c r="AG3352" s="93"/>
      <c r="AH3352" s="93"/>
      <c r="AI3352" s="93"/>
      <c r="AJ3352" s="93"/>
    </row>
    <row r="3353" spans="30:36" ht="18">
      <c r="AD3353" s="93"/>
      <c r="AE3353" s="215"/>
      <c r="AF3353" s="93"/>
      <c r="AG3353" s="93"/>
      <c r="AH3353" s="93"/>
      <c r="AI3353" s="93"/>
      <c r="AJ3353" s="93"/>
    </row>
    <row r="3354" spans="30:36" ht="18">
      <c r="AD3354" s="93"/>
      <c r="AE3354" s="214"/>
      <c r="AF3354" s="93"/>
      <c r="AG3354" s="93"/>
      <c r="AH3354" s="93"/>
      <c r="AI3354" s="93"/>
      <c r="AJ3354" s="93"/>
    </row>
    <row r="3355" spans="30:36" ht="18">
      <c r="AD3355" s="93"/>
      <c r="AE3355" s="214"/>
      <c r="AF3355" s="93"/>
      <c r="AG3355" s="93"/>
      <c r="AH3355" s="93"/>
      <c r="AI3355" s="93"/>
      <c r="AJ3355" s="93"/>
    </row>
    <row r="3356" spans="30:36" ht="18">
      <c r="AD3356" s="93"/>
      <c r="AE3356" s="214"/>
      <c r="AF3356" s="93"/>
      <c r="AG3356" s="93"/>
      <c r="AH3356" s="93"/>
      <c r="AI3356" s="93"/>
      <c r="AJ3356" s="93"/>
    </row>
    <row r="3357" spans="30:36" ht="18">
      <c r="AD3357" s="93"/>
      <c r="AE3357" s="214"/>
      <c r="AF3357" s="93"/>
      <c r="AG3357" s="93"/>
      <c r="AH3357" s="93"/>
      <c r="AI3357" s="93"/>
      <c r="AJ3357" s="93"/>
    </row>
    <row r="3358" spans="30:36" ht="18">
      <c r="AD3358" s="93"/>
      <c r="AE3358" s="214"/>
      <c r="AF3358" s="93"/>
      <c r="AG3358" s="93"/>
      <c r="AH3358" s="93"/>
      <c r="AI3358" s="93"/>
      <c r="AJ3358" s="93"/>
    </row>
    <row r="3359" spans="30:36" ht="18">
      <c r="AD3359" s="93"/>
      <c r="AE3359" s="214"/>
      <c r="AF3359" s="93"/>
      <c r="AG3359" s="93"/>
      <c r="AH3359" s="93"/>
      <c r="AI3359" s="93"/>
      <c r="AJ3359" s="93"/>
    </row>
    <row r="3360" spans="30:36" ht="18">
      <c r="AD3360" s="93"/>
      <c r="AE3360" s="214"/>
      <c r="AF3360" s="93"/>
      <c r="AG3360" s="93"/>
      <c r="AH3360" s="93"/>
      <c r="AI3360" s="93"/>
      <c r="AJ3360" s="93"/>
    </row>
    <row r="3361" spans="30:36" ht="18">
      <c r="AD3361" s="93"/>
      <c r="AE3361" s="214"/>
      <c r="AF3361" s="93"/>
      <c r="AG3361" s="93"/>
      <c r="AH3361" s="93"/>
      <c r="AI3361" s="93"/>
      <c r="AJ3361" s="93"/>
    </row>
    <row r="3362" spans="30:36" ht="18">
      <c r="AD3362" s="93"/>
      <c r="AE3362" s="214"/>
      <c r="AF3362" s="93"/>
      <c r="AG3362" s="93"/>
      <c r="AH3362" s="93"/>
      <c r="AI3362" s="93"/>
      <c r="AJ3362" s="93"/>
    </row>
    <row r="3363" spans="30:36" ht="18">
      <c r="AD3363" s="93"/>
      <c r="AE3363" s="214"/>
      <c r="AF3363" s="93"/>
      <c r="AG3363" s="93"/>
      <c r="AH3363" s="93"/>
      <c r="AI3363" s="93"/>
      <c r="AJ3363" s="93"/>
    </row>
    <row r="3364" spans="30:36" ht="18">
      <c r="AD3364" s="93"/>
      <c r="AE3364" s="214"/>
      <c r="AF3364" s="93"/>
      <c r="AG3364" s="93"/>
      <c r="AH3364" s="93"/>
      <c r="AI3364" s="93"/>
      <c r="AJ3364" s="93"/>
    </row>
    <row r="3365" spans="30:36" ht="18">
      <c r="AD3365" s="93"/>
      <c r="AE3365" s="214"/>
      <c r="AF3365" s="93"/>
      <c r="AG3365" s="93"/>
      <c r="AH3365" s="93"/>
      <c r="AI3365" s="93"/>
      <c r="AJ3365" s="93"/>
    </row>
    <row r="3366" spans="30:36" ht="18">
      <c r="AD3366" s="93"/>
      <c r="AE3366" s="214"/>
      <c r="AF3366" s="93"/>
      <c r="AG3366" s="93"/>
      <c r="AH3366" s="93"/>
      <c r="AI3366" s="93"/>
      <c r="AJ3366" s="93"/>
    </row>
    <row r="3367" spans="30:36" ht="18">
      <c r="AD3367" s="93"/>
      <c r="AE3367" s="214"/>
      <c r="AF3367" s="93"/>
      <c r="AG3367" s="93"/>
      <c r="AH3367" s="93"/>
      <c r="AI3367" s="93"/>
      <c r="AJ3367" s="93"/>
    </row>
    <row r="3368" spans="30:36" ht="18">
      <c r="AD3368" s="93"/>
      <c r="AE3368" s="214"/>
      <c r="AF3368" s="93"/>
      <c r="AG3368" s="93"/>
      <c r="AH3368" s="93"/>
      <c r="AI3368" s="93"/>
      <c r="AJ3368" s="93"/>
    </row>
    <row r="3369" spans="30:36" ht="18">
      <c r="AD3369" s="93"/>
      <c r="AE3369" s="215"/>
      <c r="AF3369" s="93"/>
      <c r="AG3369" s="93"/>
      <c r="AH3369" s="93"/>
      <c r="AI3369" s="93"/>
      <c r="AJ3369" s="93"/>
    </row>
    <row r="3370" spans="30:36" ht="18">
      <c r="AD3370" s="93"/>
      <c r="AE3370" s="214"/>
      <c r="AF3370" s="93"/>
      <c r="AG3370" s="93"/>
      <c r="AH3370" s="93"/>
      <c r="AI3370" s="93"/>
      <c r="AJ3370" s="93"/>
    </row>
    <row r="3371" spans="30:36" ht="18">
      <c r="AD3371" s="93"/>
      <c r="AE3371" s="214"/>
      <c r="AF3371" s="93"/>
      <c r="AG3371" s="93"/>
      <c r="AH3371" s="93"/>
      <c r="AI3371" s="93"/>
      <c r="AJ3371" s="93"/>
    </row>
    <row r="3372" spans="30:36" ht="18">
      <c r="AD3372" s="93"/>
      <c r="AE3372" s="214"/>
      <c r="AF3372" s="93"/>
      <c r="AG3372" s="93"/>
      <c r="AH3372" s="93"/>
      <c r="AI3372" s="93"/>
      <c r="AJ3372" s="93"/>
    </row>
    <row r="3373" spans="30:36" ht="18">
      <c r="AD3373" s="93"/>
      <c r="AE3373" s="214"/>
      <c r="AF3373" s="93"/>
      <c r="AG3373" s="93"/>
      <c r="AH3373" s="93"/>
      <c r="AI3373" s="93"/>
      <c r="AJ3373" s="93"/>
    </row>
    <row r="3374" spans="30:36" ht="18">
      <c r="AD3374" s="93"/>
      <c r="AE3374" s="214"/>
      <c r="AF3374" s="93"/>
      <c r="AG3374" s="93"/>
      <c r="AH3374" s="93"/>
      <c r="AI3374" s="93"/>
      <c r="AJ3374" s="93"/>
    </row>
    <row r="3375" spans="30:36" ht="18">
      <c r="AD3375" s="93"/>
      <c r="AE3375" s="214"/>
      <c r="AF3375" s="93"/>
      <c r="AG3375" s="93"/>
      <c r="AH3375" s="93"/>
      <c r="AI3375" s="93"/>
      <c r="AJ3375" s="93"/>
    </row>
    <row r="3376" spans="30:36" ht="18">
      <c r="AD3376" s="93"/>
      <c r="AE3376" s="215"/>
      <c r="AF3376" s="93"/>
      <c r="AG3376" s="93"/>
      <c r="AH3376" s="93"/>
      <c r="AI3376" s="93"/>
      <c r="AJ3376" s="93"/>
    </row>
    <row r="3377" spans="30:36" ht="18">
      <c r="AD3377" s="93"/>
      <c r="AE3377" s="214"/>
      <c r="AF3377" s="93"/>
      <c r="AG3377" s="93"/>
      <c r="AH3377" s="93"/>
      <c r="AI3377" s="93"/>
      <c r="AJ3377" s="93"/>
    </row>
    <row r="3378" spans="30:36" ht="18">
      <c r="AD3378" s="93"/>
      <c r="AE3378" s="214"/>
      <c r="AF3378" s="93"/>
      <c r="AG3378" s="93"/>
      <c r="AH3378" s="93"/>
      <c r="AI3378" s="93"/>
      <c r="AJ3378" s="93"/>
    </row>
    <row r="3379" spans="30:36" ht="18">
      <c r="AD3379" s="93"/>
      <c r="AE3379" s="214"/>
      <c r="AF3379" s="93"/>
      <c r="AG3379" s="93"/>
      <c r="AH3379" s="93"/>
      <c r="AI3379" s="93"/>
      <c r="AJ3379" s="93"/>
    </row>
    <row r="3380" spans="30:36" ht="18">
      <c r="AD3380" s="93"/>
      <c r="AE3380" s="214"/>
      <c r="AF3380" s="93"/>
      <c r="AG3380" s="93"/>
      <c r="AH3380" s="93"/>
      <c r="AI3380" s="93"/>
      <c r="AJ3380" s="93"/>
    </row>
    <row r="3381" spans="30:36" ht="18">
      <c r="AD3381" s="93"/>
      <c r="AE3381" s="214"/>
      <c r="AF3381" s="93"/>
      <c r="AG3381" s="93"/>
      <c r="AH3381" s="93"/>
      <c r="AI3381" s="93"/>
      <c r="AJ3381" s="93"/>
    </row>
    <row r="3382" spans="30:36" ht="18">
      <c r="AD3382" s="93"/>
      <c r="AE3382" s="214"/>
      <c r="AF3382" s="93"/>
      <c r="AG3382" s="93"/>
      <c r="AH3382" s="93"/>
      <c r="AI3382" s="93"/>
      <c r="AJ3382" s="93"/>
    </row>
    <row r="3383" spans="30:36" ht="18">
      <c r="AD3383" s="93"/>
      <c r="AE3383" s="214"/>
      <c r="AF3383" s="93"/>
      <c r="AG3383" s="93"/>
      <c r="AH3383" s="93"/>
      <c r="AI3383" s="93"/>
      <c r="AJ3383" s="93"/>
    </row>
    <row r="3384" spans="30:36" ht="18">
      <c r="AD3384" s="93"/>
      <c r="AE3384" s="214"/>
      <c r="AF3384" s="93"/>
      <c r="AG3384" s="93"/>
      <c r="AH3384" s="93"/>
      <c r="AI3384" s="93"/>
      <c r="AJ3384" s="93"/>
    </row>
    <row r="3385" spans="30:36" ht="18">
      <c r="AD3385" s="93"/>
      <c r="AE3385" s="214"/>
      <c r="AF3385" s="93"/>
      <c r="AG3385" s="93"/>
      <c r="AH3385" s="93"/>
      <c r="AI3385" s="93"/>
      <c r="AJ3385" s="93"/>
    </row>
    <row r="3386" spans="30:36" ht="18">
      <c r="AD3386" s="93"/>
      <c r="AE3386" s="214"/>
      <c r="AF3386" s="93"/>
      <c r="AG3386" s="93"/>
      <c r="AH3386" s="93"/>
      <c r="AI3386" s="93"/>
      <c r="AJ3386" s="93"/>
    </row>
    <row r="3387" spans="30:36" ht="18">
      <c r="AD3387" s="93"/>
      <c r="AE3387" s="214"/>
      <c r="AF3387" s="93"/>
      <c r="AG3387" s="93"/>
      <c r="AH3387" s="93"/>
      <c r="AI3387" s="93"/>
      <c r="AJ3387" s="93"/>
    </row>
    <row r="3388" spans="30:36" ht="18">
      <c r="AD3388" s="93"/>
      <c r="AE3388" s="214"/>
      <c r="AF3388" s="93"/>
      <c r="AG3388" s="93"/>
      <c r="AH3388" s="93"/>
      <c r="AI3388" s="93"/>
      <c r="AJ3388" s="93"/>
    </row>
    <row r="3389" spans="30:36" ht="18">
      <c r="AD3389" s="93"/>
      <c r="AE3389" s="214"/>
      <c r="AF3389" s="93"/>
      <c r="AG3389" s="93"/>
      <c r="AH3389" s="93"/>
      <c r="AI3389" s="93"/>
      <c r="AJ3389" s="93"/>
    </row>
    <row r="3390" spans="30:36" ht="18">
      <c r="AD3390" s="93"/>
      <c r="AE3390" s="214"/>
      <c r="AF3390" s="93"/>
      <c r="AG3390" s="93"/>
      <c r="AH3390" s="93"/>
      <c r="AI3390" s="93"/>
      <c r="AJ3390" s="93"/>
    </row>
    <row r="3391" spans="30:36" ht="18">
      <c r="AD3391" s="93"/>
      <c r="AE3391" s="214"/>
      <c r="AF3391" s="93"/>
      <c r="AG3391" s="93"/>
      <c r="AH3391" s="93"/>
      <c r="AI3391" s="93"/>
      <c r="AJ3391" s="93"/>
    </row>
    <row r="3392" spans="30:36" ht="18">
      <c r="AD3392" s="93"/>
      <c r="AE3392" s="214"/>
      <c r="AF3392" s="93"/>
      <c r="AG3392" s="93"/>
      <c r="AH3392" s="93"/>
      <c r="AI3392" s="93"/>
      <c r="AJ3392" s="93"/>
    </row>
    <row r="3393" spans="30:36" ht="18">
      <c r="AD3393" s="93"/>
      <c r="AE3393" s="214"/>
      <c r="AF3393" s="93"/>
      <c r="AG3393" s="93"/>
      <c r="AH3393" s="93"/>
      <c r="AI3393" s="93"/>
      <c r="AJ3393" s="93"/>
    </row>
    <row r="3394" spans="30:36" ht="18">
      <c r="AD3394" s="93"/>
      <c r="AE3394" s="214"/>
      <c r="AF3394" s="93"/>
      <c r="AG3394" s="93"/>
      <c r="AH3394" s="93"/>
      <c r="AI3394" s="93"/>
      <c r="AJ3394" s="93"/>
    </row>
    <row r="3395" spans="30:36" ht="18">
      <c r="AD3395" s="93"/>
      <c r="AE3395" s="214"/>
      <c r="AF3395" s="93"/>
      <c r="AG3395" s="93"/>
      <c r="AH3395" s="93"/>
      <c r="AI3395" s="93"/>
      <c r="AJ3395" s="93"/>
    </row>
    <row r="3396" spans="30:36" ht="18">
      <c r="AD3396" s="93"/>
      <c r="AE3396" s="214"/>
      <c r="AF3396" s="93"/>
      <c r="AG3396" s="93"/>
      <c r="AH3396" s="93"/>
      <c r="AI3396" s="93"/>
      <c r="AJ3396" s="93"/>
    </row>
    <row r="3397" spans="30:36" ht="18">
      <c r="AD3397" s="93"/>
      <c r="AE3397" s="214"/>
      <c r="AF3397" s="93"/>
      <c r="AG3397" s="93"/>
      <c r="AH3397" s="93"/>
      <c r="AI3397" s="93"/>
      <c r="AJ3397" s="93"/>
    </row>
    <row r="3398" spans="30:36" ht="18">
      <c r="AD3398" s="93"/>
      <c r="AE3398" s="214"/>
      <c r="AF3398" s="93"/>
      <c r="AG3398" s="93"/>
      <c r="AH3398" s="93"/>
      <c r="AI3398" s="93"/>
      <c r="AJ3398" s="93"/>
    </row>
    <row r="3399" spans="30:36" ht="18">
      <c r="AD3399" s="93"/>
      <c r="AE3399" s="214"/>
      <c r="AF3399" s="93"/>
      <c r="AG3399" s="93"/>
      <c r="AH3399" s="93"/>
      <c r="AI3399" s="93"/>
      <c r="AJ3399" s="93"/>
    </row>
    <row r="3400" spans="30:36" ht="18">
      <c r="AD3400" s="93"/>
      <c r="AE3400" s="214"/>
      <c r="AF3400" s="93"/>
      <c r="AG3400" s="93"/>
      <c r="AH3400" s="93"/>
      <c r="AI3400" s="93"/>
      <c r="AJ3400" s="93"/>
    </row>
    <row r="3401" spans="30:36" ht="18">
      <c r="AD3401" s="93"/>
      <c r="AE3401" s="214"/>
      <c r="AF3401" s="93"/>
      <c r="AG3401" s="93"/>
      <c r="AH3401" s="93"/>
      <c r="AI3401" s="93"/>
      <c r="AJ3401" s="93"/>
    </row>
    <row r="3402" spans="30:36" ht="18">
      <c r="AD3402" s="93"/>
      <c r="AE3402" s="214"/>
      <c r="AF3402" s="93"/>
      <c r="AG3402" s="93"/>
      <c r="AH3402" s="93"/>
      <c r="AI3402" s="93"/>
      <c r="AJ3402" s="93"/>
    </row>
    <row r="3403" spans="30:36" ht="18">
      <c r="AD3403" s="93"/>
      <c r="AE3403" s="214"/>
      <c r="AF3403" s="93"/>
      <c r="AG3403" s="93"/>
      <c r="AH3403" s="93"/>
      <c r="AI3403" s="93"/>
      <c r="AJ3403" s="93"/>
    </row>
    <row r="3404" spans="30:36" ht="18">
      <c r="AD3404" s="93"/>
      <c r="AE3404" s="215"/>
      <c r="AF3404" s="93"/>
      <c r="AG3404" s="93"/>
      <c r="AH3404" s="93"/>
      <c r="AI3404" s="93"/>
      <c r="AJ3404" s="93"/>
    </row>
    <row r="3405" spans="30:36" ht="18">
      <c r="AD3405" s="93"/>
      <c r="AE3405" s="215"/>
      <c r="AF3405" s="93"/>
      <c r="AG3405" s="93"/>
      <c r="AH3405" s="93"/>
      <c r="AI3405" s="93"/>
      <c r="AJ3405" s="93"/>
    </row>
    <row r="3406" spans="30:36" ht="18">
      <c r="AD3406" s="93"/>
      <c r="AE3406" s="214"/>
      <c r="AF3406" s="93"/>
      <c r="AG3406" s="93"/>
      <c r="AH3406" s="93"/>
      <c r="AI3406" s="93"/>
      <c r="AJ3406" s="93"/>
    </row>
    <row r="3407" spans="30:36" ht="18">
      <c r="AD3407" s="93"/>
      <c r="AE3407" s="214"/>
      <c r="AF3407" s="93"/>
      <c r="AG3407" s="93"/>
      <c r="AH3407" s="93"/>
      <c r="AI3407" s="93"/>
      <c r="AJ3407" s="93"/>
    </row>
    <row r="3408" spans="30:36" ht="18">
      <c r="AD3408" s="93"/>
      <c r="AE3408" s="214"/>
      <c r="AF3408" s="93"/>
      <c r="AG3408" s="93"/>
      <c r="AH3408" s="93"/>
      <c r="AI3408" s="93"/>
      <c r="AJ3408" s="93"/>
    </row>
    <row r="3409" spans="30:36" ht="18">
      <c r="AD3409" s="93"/>
      <c r="AE3409" s="214"/>
      <c r="AF3409" s="93"/>
      <c r="AG3409" s="93"/>
      <c r="AH3409" s="93"/>
      <c r="AI3409" s="93"/>
      <c r="AJ3409" s="93"/>
    </row>
    <row r="3410" spans="30:36" ht="18">
      <c r="AD3410" s="93"/>
      <c r="AE3410" s="214"/>
      <c r="AF3410" s="93"/>
      <c r="AG3410" s="93"/>
      <c r="AH3410" s="93"/>
      <c r="AI3410" s="93"/>
      <c r="AJ3410" s="93"/>
    </row>
    <row r="3411" spans="30:36" ht="18">
      <c r="AD3411" s="93"/>
      <c r="AE3411" s="214"/>
      <c r="AF3411" s="93"/>
      <c r="AG3411" s="93"/>
      <c r="AH3411" s="93"/>
      <c r="AI3411" s="93"/>
      <c r="AJ3411" s="93"/>
    </row>
    <row r="3412" spans="30:36" ht="18">
      <c r="AD3412" s="93"/>
      <c r="AE3412" s="214"/>
      <c r="AF3412" s="93"/>
      <c r="AG3412" s="93"/>
      <c r="AH3412" s="93"/>
      <c r="AI3412" s="93"/>
      <c r="AJ3412" s="93"/>
    </row>
    <row r="3413" spans="30:36" ht="18">
      <c r="AD3413" s="93"/>
      <c r="AE3413" s="214"/>
      <c r="AF3413" s="93"/>
      <c r="AG3413" s="93"/>
      <c r="AH3413" s="93"/>
      <c r="AI3413" s="93"/>
      <c r="AJ3413" s="93"/>
    </row>
    <row r="3414" spans="30:36" ht="18">
      <c r="AD3414" s="93"/>
      <c r="AE3414" s="214"/>
      <c r="AF3414" s="93"/>
      <c r="AG3414" s="93"/>
      <c r="AH3414" s="93"/>
      <c r="AI3414" s="93"/>
      <c r="AJ3414" s="93"/>
    </row>
    <row r="3415" spans="30:36" ht="18">
      <c r="AD3415" s="93"/>
      <c r="AE3415" s="214"/>
      <c r="AF3415" s="93"/>
      <c r="AG3415" s="93"/>
      <c r="AH3415" s="93"/>
      <c r="AI3415" s="93"/>
      <c r="AJ3415" s="93"/>
    </row>
    <row r="3416" spans="30:36" ht="18">
      <c r="AD3416" s="93"/>
      <c r="AE3416" s="214"/>
      <c r="AF3416" s="93"/>
      <c r="AG3416" s="93"/>
      <c r="AH3416" s="93"/>
      <c r="AI3416" s="93"/>
      <c r="AJ3416" s="93"/>
    </row>
    <row r="3417" spans="30:36" ht="18">
      <c r="AD3417" s="93"/>
      <c r="AE3417" s="214"/>
      <c r="AF3417" s="93"/>
      <c r="AG3417" s="93"/>
      <c r="AH3417" s="93"/>
      <c r="AI3417" s="93"/>
      <c r="AJ3417" s="93"/>
    </row>
    <row r="3418" spans="30:36" ht="18">
      <c r="AD3418" s="93"/>
      <c r="AE3418" s="214"/>
      <c r="AF3418" s="93"/>
      <c r="AG3418" s="93"/>
      <c r="AH3418" s="93"/>
      <c r="AI3418" s="93"/>
      <c r="AJ3418" s="93"/>
    </row>
    <row r="3419" spans="30:36" ht="18">
      <c r="AD3419" s="93"/>
      <c r="AE3419" s="214"/>
      <c r="AF3419" s="93"/>
      <c r="AG3419" s="93"/>
      <c r="AH3419" s="93"/>
      <c r="AI3419" s="93"/>
      <c r="AJ3419" s="93"/>
    </row>
    <row r="3420" spans="30:36" ht="18">
      <c r="AD3420" s="93"/>
      <c r="AE3420" s="214"/>
      <c r="AF3420" s="93"/>
      <c r="AG3420" s="93"/>
      <c r="AH3420" s="93"/>
      <c r="AI3420" s="93"/>
      <c r="AJ3420" s="93"/>
    </row>
    <row r="3421" spans="30:36" ht="18">
      <c r="AD3421" s="93"/>
      <c r="AE3421" s="214"/>
      <c r="AF3421" s="93"/>
      <c r="AG3421" s="93"/>
      <c r="AH3421" s="93"/>
      <c r="AI3421" s="93"/>
      <c r="AJ3421" s="93"/>
    </row>
    <row r="3422" spans="30:36" ht="18">
      <c r="AD3422" s="93"/>
      <c r="AE3422" s="214"/>
      <c r="AF3422" s="93"/>
      <c r="AG3422" s="93"/>
      <c r="AH3422" s="93"/>
      <c r="AI3422" s="93"/>
      <c r="AJ3422" s="93"/>
    </row>
    <row r="3423" spans="30:36" ht="18">
      <c r="AD3423" s="93"/>
      <c r="AE3423" s="214"/>
      <c r="AF3423" s="93"/>
      <c r="AG3423" s="93"/>
      <c r="AH3423" s="93"/>
      <c r="AI3423" s="93"/>
      <c r="AJ3423" s="93"/>
    </row>
    <row r="3424" spans="30:36" ht="18">
      <c r="AD3424" s="93"/>
      <c r="AE3424" s="214"/>
      <c r="AF3424" s="93"/>
      <c r="AG3424" s="93"/>
      <c r="AH3424" s="93"/>
      <c r="AI3424" s="93"/>
      <c r="AJ3424" s="93"/>
    </row>
    <row r="3425" spans="30:36" ht="18">
      <c r="AD3425" s="93"/>
      <c r="AE3425" s="214"/>
      <c r="AF3425" s="93"/>
      <c r="AG3425" s="93"/>
      <c r="AH3425" s="93"/>
      <c r="AI3425" s="93"/>
      <c r="AJ3425" s="93"/>
    </row>
    <row r="3426" spans="30:36" ht="18">
      <c r="AD3426" s="93"/>
      <c r="AE3426" s="214"/>
      <c r="AF3426" s="93"/>
      <c r="AG3426" s="93"/>
      <c r="AH3426" s="93"/>
      <c r="AI3426" s="93"/>
      <c r="AJ3426" s="93"/>
    </row>
    <row r="3427" spans="30:36" ht="18">
      <c r="AD3427" s="93"/>
      <c r="AE3427" s="214"/>
      <c r="AF3427" s="93"/>
      <c r="AG3427" s="93"/>
      <c r="AH3427" s="93"/>
      <c r="AI3427" s="93"/>
      <c r="AJ3427" s="93"/>
    </row>
    <row r="3428" spans="30:36" ht="18">
      <c r="AD3428" s="93"/>
      <c r="AE3428" s="214"/>
      <c r="AF3428" s="93"/>
      <c r="AG3428" s="93"/>
      <c r="AH3428" s="93"/>
      <c r="AI3428" s="93"/>
      <c r="AJ3428" s="93"/>
    </row>
    <row r="3429" spans="30:36" ht="18">
      <c r="AD3429" s="93"/>
      <c r="AE3429" s="214"/>
      <c r="AF3429" s="93"/>
      <c r="AG3429" s="93"/>
      <c r="AH3429" s="93"/>
      <c r="AI3429" s="93"/>
      <c r="AJ3429" s="93"/>
    </row>
    <row r="3430" spans="30:36" ht="18">
      <c r="AD3430" s="93"/>
      <c r="AE3430" s="214"/>
      <c r="AF3430" s="93"/>
      <c r="AG3430" s="93"/>
      <c r="AH3430" s="93"/>
      <c r="AI3430" s="93"/>
      <c r="AJ3430" s="93"/>
    </row>
    <row r="3431" spans="30:36" ht="18">
      <c r="AD3431" s="93"/>
      <c r="AE3431" s="214"/>
      <c r="AF3431" s="93"/>
      <c r="AG3431" s="93"/>
      <c r="AH3431" s="93"/>
      <c r="AI3431" s="93"/>
      <c r="AJ3431" s="93"/>
    </row>
    <row r="3432" spans="30:36" ht="18">
      <c r="AD3432" s="93"/>
      <c r="AE3432" s="214"/>
      <c r="AF3432" s="93"/>
      <c r="AG3432" s="93"/>
      <c r="AH3432" s="93"/>
      <c r="AI3432" s="93"/>
      <c r="AJ3432" s="93"/>
    </row>
    <row r="3433" spans="30:36" ht="18">
      <c r="AD3433" s="93"/>
      <c r="AE3433" s="214"/>
      <c r="AF3433" s="93"/>
      <c r="AG3433" s="93"/>
      <c r="AH3433" s="93"/>
      <c r="AI3433" s="93"/>
      <c r="AJ3433" s="93"/>
    </row>
    <row r="3434" spans="30:36" ht="18">
      <c r="AD3434" s="93"/>
      <c r="AE3434" s="214"/>
      <c r="AF3434" s="93"/>
      <c r="AG3434" s="93"/>
      <c r="AH3434" s="93"/>
      <c r="AI3434" s="93"/>
      <c r="AJ3434" s="93"/>
    </row>
    <row r="3435" spans="30:36" ht="18">
      <c r="AD3435" s="93"/>
      <c r="AE3435" s="214"/>
      <c r="AF3435" s="93"/>
      <c r="AG3435" s="93"/>
      <c r="AH3435" s="93"/>
      <c r="AI3435" s="93"/>
      <c r="AJ3435" s="93"/>
    </row>
    <row r="3436" spans="30:36" ht="18">
      <c r="AD3436" s="93"/>
      <c r="AE3436" s="214"/>
      <c r="AF3436" s="93"/>
      <c r="AG3436" s="93"/>
      <c r="AH3436" s="93"/>
      <c r="AI3436" s="93"/>
      <c r="AJ3436" s="93"/>
    </row>
    <row r="3437" spans="30:36" ht="18">
      <c r="AD3437" s="93"/>
      <c r="AE3437" s="215"/>
      <c r="AF3437" s="93"/>
      <c r="AG3437" s="93"/>
      <c r="AH3437" s="93"/>
      <c r="AI3437" s="93"/>
      <c r="AJ3437" s="93"/>
    </row>
    <row r="3438" spans="30:36" ht="18">
      <c r="AD3438" s="93"/>
      <c r="AE3438" s="214"/>
      <c r="AF3438" s="93"/>
      <c r="AG3438" s="93"/>
      <c r="AH3438" s="93"/>
      <c r="AI3438" s="93"/>
      <c r="AJ3438" s="93"/>
    </row>
    <row r="3439" spans="30:36" ht="18">
      <c r="AD3439" s="93"/>
      <c r="AE3439" s="214"/>
      <c r="AF3439" s="93"/>
      <c r="AG3439" s="93"/>
      <c r="AH3439" s="93"/>
      <c r="AI3439" s="93"/>
      <c r="AJ3439" s="93"/>
    </row>
    <row r="3440" spans="30:36" ht="18">
      <c r="AD3440" s="93"/>
      <c r="AE3440" s="214"/>
      <c r="AF3440" s="93"/>
      <c r="AG3440" s="93"/>
      <c r="AH3440" s="93"/>
      <c r="AI3440" s="93"/>
      <c r="AJ3440" s="93"/>
    </row>
    <row r="3441" spans="30:36" ht="18">
      <c r="AD3441" s="93"/>
      <c r="AE3441" s="214"/>
      <c r="AF3441" s="93"/>
      <c r="AG3441" s="93"/>
      <c r="AH3441" s="93"/>
      <c r="AI3441" s="93"/>
      <c r="AJ3441" s="93"/>
    </row>
    <row r="3442" spans="30:36" ht="18">
      <c r="AD3442" s="93"/>
      <c r="AE3442" s="214"/>
      <c r="AF3442" s="93"/>
      <c r="AG3442" s="93"/>
      <c r="AH3442" s="93"/>
      <c r="AI3442" s="93"/>
      <c r="AJ3442" s="93"/>
    </row>
    <row r="3443" spans="30:36" ht="18">
      <c r="AD3443" s="93"/>
      <c r="AE3443" s="214"/>
      <c r="AF3443" s="93"/>
      <c r="AG3443" s="93"/>
      <c r="AH3443" s="93"/>
      <c r="AI3443" s="93"/>
      <c r="AJ3443" s="93"/>
    </row>
    <row r="3444" spans="30:36" ht="18">
      <c r="AD3444" s="93"/>
      <c r="AE3444" s="214"/>
      <c r="AF3444" s="93"/>
      <c r="AG3444" s="93"/>
      <c r="AH3444" s="93"/>
      <c r="AI3444" s="93"/>
      <c r="AJ3444" s="93"/>
    </row>
    <row r="3445" spans="30:36" ht="18">
      <c r="AD3445" s="93"/>
      <c r="AE3445" s="214"/>
      <c r="AF3445" s="93"/>
      <c r="AG3445" s="93"/>
      <c r="AH3445" s="93"/>
      <c r="AI3445" s="93"/>
      <c r="AJ3445" s="93"/>
    </row>
    <row r="3446" spans="30:36" ht="18">
      <c r="AD3446" s="93"/>
      <c r="AE3446" s="215"/>
      <c r="AF3446" s="93"/>
      <c r="AG3446" s="93"/>
      <c r="AH3446" s="93"/>
      <c r="AI3446" s="93"/>
      <c r="AJ3446" s="93"/>
    </row>
    <row r="3447" spans="30:36" ht="18">
      <c r="AD3447" s="93"/>
      <c r="AE3447" s="215"/>
      <c r="AF3447" s="93"/>
      <c r="AG3447" s="93"/>
      <c r="AH3447" s="93"/>
      <c r="AI3447" s="93"/>
      <c r="AJ3447" s="93"/>
    </row>
    <row r="3448" spans="30:36" ht="18">
      <c r="AD3448" s="93"/>
      <c r="AE3448" s="214"/>
      <c r="AF3448" s="93"/>
      <c r="AG3448" s="93"/>
      <c r="AH3448" s="93"/>
      <c r="AI3448" s="93"/>
      <c r="AJ3448" s="93"/>
    </row>
    <row r="3449" spans="30:36" ht="18">
      <c r="AD3449" s="93"/>
      <c r="AE3449" s="214"/>
      <c r="AF3449" s="93"/>
      <c r="AG3449" s="93"/>
      <c r="AH3449" s="93"/>
      <c r="AI3449" s="93"/>
      <c r="AJ3449" s="93"/>
    </row>
    <row r="3450" spans="30:36" ht="18">
      <c r="AD3450" s="93"/>
      <c r="AE3450" s="214"/>
      <c r="AF3450" s="93"/>
      <c r="AG3450" s="93"/>
      <c r="AH3450" s="93"/>
      <c r="AI3450" s="93"/>
      <c r="AJ3450" s="93"/>
    </row>
    <row r="3451" spans="30:36" ht="18">
      <c r="AD3451" s="93"/>
      <c r="AE3451" s="214"/>
      <c r="AF3451" s="93"/>
      <c r="AG3451" s="93"/>
      <c r="AH3451" s="93"/>
      <c r="AI3451" s="93"/>
      <c r="AJ3451" s="93"/>
    </row>
    <row r="3452" spans="30:36" ht="18">
      <c r="AD3452" s="93"/>
      <c r="AE3452" s="214"/>
      <c r="AF3452" s="93"/>
      <c r="AG3452" s="93"/>
      <c r="AH3452" s="93"/>
      <c r="AI3452" s="93"/>
      <c r="AJ3452" s="93"/>
    </row>
    <row r="3453" spans="30:36" ht="18">
      <c r="AD3453" s="93"/>
      <c r="AE3453" s="214"/>
      <c r="AF3453" s="93"/>
      <c r="AG3453" s="93"/>
      <c r="AH3453" s="93"/>
      <c r="AI3453" s="93"/>
      <c r="AJ3453" s="93"/>
    </row>
    <row r="3454" spans="30:36" ht="18">
      <c r="AD3454" s="93"/>
      <c r="AE3454" s="214"/>
      <c r="AF3454" s="93"/>
      <c r="AG3454" s="93"/>
      <c r="AH3454" s="93"/>
      <c r="AI3454" s="93"/>
      <c r="AJ3454" s="93"/>
    </row>
    <row r="3455" spans="30:36" ht="18">
      <c r="AD3455" s="93"/>
      <c r="AE3455" s="214"/>
      <c r="AF3455" s="93"/>
      <c r="AG3455" s="93"/>
      <c r="AH3455" s="93"/>
      <c r="AI3455" s="93"/>
      <c r="AJ3455" s="93"/>
    </row>
    <row r="3456" spans="30:36" ht="18">
      <c r="AD3456" s="93"/>
      <c r="AE3456" s="214"/>
      <c r="AF3456" s="93"/>
      <c r="AG3456" s="93"/>
      <c r="AH3456" s="93"/>
      <c r="AI3456" s="93"/>
      <c r="AJ3456" s="93"/>
    </row>
    <row r="3457" spans="30:36" ht="18">
      <c r="AD3457" s="93"/>
      <c r="AE3457" s="214"/>
      <c r="AF3457" s="93"/>
      <c r="AG3457" s="93"/>
      <c r="AH3457" s="93"/>
      <c r="AI3457" s="93"/>
      <c r="AJ3457" s="93"/>
    </row>
    <row r="3458" spans="30:36" ht="18">
      <c r="AD3458" s="93"/>
      <c r="AE3458" s="214"/>
      <c r="AF3458" s="93"/>
      <c r="AG3458" s="93"/>
      <c r="AH3458" s="93"/>
      <c r="AI3458" s="93"/>
      <c r="AJ3458" s="93"/>
    </row>
    <row r="3459" spans="30:36" ht="18">
      <c r="AD3459" s="93"/>
      <c r="AE3459" s="214"/>
      <c r="AF3459" s="93"/>
      <c r="AG3459" s="93"/>
      <c r="AH3459" s="93"/>
      <c r="AI3459" s="93"/>
      <c r="AJ3459" s="93"/>
    </row>
    <row r="3460" spans="30:36" ht="18">
      <c r="AD3460" s="93"/>
      <c r="AE3460" s="214"/>
      <c r="AF3460" s="93"/>
      <c r="AG3460" s="93"/>
      <c r="AH3460" s="93"/>
      <c r="AI3460" s="93"/>
      <c r="AJ3460" s="93"/>
    </row>
    <row r="3461" spans="30:36" ht="18">
      <c r="AD3461" s="93"/>
      <c r="AE3461" s="214"/>
      <c r="AF3461" s="93"/>
      <c r="AG3461" s="93"/>
      <c r="AH3461" s="93"/>
      <c r="AI3461" s="93"/>
      <c r="AJ3461" s="93"/>
    </row>
    <row r="3462" spans="30:36" ht="18">
      <c r="AD3462" s="93"/>
      <c r="AE3462" s="214"/>
      <c r="AF3462" s="93"/>
      <c r="AG3462" s="93"/>
      <c r="AH3462" s="93"/>
      <c r="AI3462" s="93"/>
      <c r="AJ3462" s="93"/>
    </row>
    <row r="3463" spans="30:36" ht="18">
      <c r="AD3463" s="93"/>
      <c r="AE3463" s="214"/>
      <c r="AF3463" s="93"/>
      <c r="AG3463" s="93"/>
      <c r="AH3463" s="93"/>
      <c r="AI3463" s="93"/>
      <c r="AJ3463" s="93"/>
    </row>
    <row r="3464" spans="30:36" ht="18">
      <c r="AD3464" s="93"/>
      <c r="AE3464" s="214"/>
      <c r="AF3464" s="93"/>
      <c r="AG3464" s="93"/>
      <c r="AH3464" s="93"/>
      <c r="AI3464" s="93"/>
      <c r="AJ3464" s="93"/>
    </row>
    <row r="3465" spans="30:36" ht="18">
      <c r="AD3465" s="93"/>
      <c r="AE3465" s="214"/>
      <c r="AF3465" s="93"/>
      <c r="AG3465" s="93"/>
      <c r="AH3465" s="93"/>
      <c r="AI3465" s="93"/>
      <c r="AJ3465" s="93"/>
    </row>
    <row r="3466" spans="30:36" ht="18">
      <c r="AD3466" s="93"/>
      <c r="AE3466" s="214"/>
      <c r="AF3466" s="93"/>
      <c r="AG3466" s="93"/>
      <c r="AH3466" s="93"/>
      <c r="AI3466" s="93"/>
      <c r="AJ3466" s="93"/>
    </row>
    <row r="3467" spans="30:36" ht="18">
      <c r="AD3467" s="93"/>
      <c r="AE3467" s="214"/>
      <c r="AF3467" s="93"/>
      <c r="AG3467" s="93"/>
      <c r="AH3467" s="93"/>
      <c r="AI3467" s="93"/>
      <c r="AJ3467" s="93"/>
    </row>
    <row r="3468" spans="30:36" ht="18">
      <c r="AD3468" s="93"/>
      <c r="AE3468" s="214"/>
      <c r="AF3468" s="93"/>
      <c r="AG3468" s="93"/>
      <c r="AH3468" s="93"/>
      <c r="AI3468" s="93"/>
      <c r="AJ3468" s="93"/>
    </row>
    <row r="3469" spans="30:36" ht="18">
      <c r="AD3469" s="93"/>
      <c r="AE3469" s="214"/>
      <c r="AF3469" s="93"/>
      <c r="AG3469" s="93"/>
      <c r="AH3469" s="93"/>
      <c r="AI3469" s="93"/>
      <c r="AJ3469" s="93"/>
    </row>
    <row r="3470" spans="30:36" ht="18">
      <c r="AD3470" s="93"/>
      <c r="AE3470" s="214"/>
      <c r="AF3470" s="93"/>
      <c r="AG3470" s="93"/>
      <c r="AH3470" s="93"/>
      <c r="AI3470" s="93"/>
      <c r="AJ3470" s="93"/>
    </row>
    <row r="3471" spans="30:36" ht="18">
      <c r="AD3471" s="93"/>
      <c r="AE3471" s="214"/>
      <c r="AF3471" s="93"/>
      <c r="AG3471" s="93"/>
      <c r="AH3471" s="93"/>
      <c r="AI3471" s="93"/>
      <c r="AJ3471" s="93"/>
    </row>
    <row r="3472" spans="30:36" ht="18">
      <c r="AD3472" s="93"/>
      <c r="AE3472" s="214"/>
      <c r="AF3472" s="93"/>
      <c r="AG3472" s="93"/>
      <c r="AH3472" s="93"/>
      <c r="AI3472" s="93"/>
      <c r="AJ3472" s="93"/>
    </row>
    <row r="3473" spans="30:36" ht="18">
      <c r="AD3473" s="93"/>
      <c r="AE3473" s="214"/>
      <c r="AF3473" s="93"/>
      <c r="AG3473" s="93"/>
      <c r="AH3473" s="93"/>
      <c r="AI3473" s="93"/>
      <c r="AJ3473" s="93"/>
    </row>
    <row r="3474" spans="30:36" ht="18">
      <c r="AD3474" s="93"/>
      <c r="AE3474" s="214"/>
      <c r="AF3474" s="93"/>
      <c r="AG3474" s="93"/>
      <c r="AH3474" s="93"/>
      <c r="AI3474" s="93"/>
      <c r="AJ3474" s="93"/>
    </row>
    <row r="3475" spans="30:36" ht="18">
      <c r="AD3475" s="93"/>
      <c r="AE3475" s="214"/>
      <c r="AF3475" s="93"/>
      <c r="AG3475" s="93"/>
      <c r="AH3475" s="93"/>
      <c r="AI3475" s="93"/>
      <c r="AJ3475" s="93"/>
    </row>
    <row r="3476" spans="30:36" ht="18">
      <c r="AD3476" s="93"/>
      <c r="AE3476" s="214"/>
      <c r="AF3476" s="93"/>
      <c r="AG3476" s="93"/>
      <c r="AH3476" s="93"/>
      <c r="AI3476" s="93"/>
      <c r="AJ3476" s="93"/>
    </row>
    <row r="3477" spans="30:36" ht="18">
      <c r="AD3477" s="93"/>
      <c r="AE3477" s="214"/>
      <c r="AF3477" s="93"/>
      <c r="AG3477" s="93"/>
      <c r="AH3477" s="93"/>
      <c r="AI3477" s="93"/>
      <c r="AJ3477" s="93"/>
    </row>
    <row r="3478" spans="30:36" ht="18">
      <c r="AD3478" s="93"/>
      <c r="AE3478" s="214"/>
      <c r="AF3478" s="93"/>
      <c r="AG3478" s="93"/>
      <c r="AH3478" s="93"/>
      <c r="AI3478" s="93"/>
      <c r="AJ3478" s="93"/>
    </row>
    <row r="3479" spans="30:36" ht="18">
      <c r="AD3479" s="93"/>
      <c r="AE3479" s="214"/>
      <c r="AF3479" s="93"/>
      <c r="AG3479" s="93"/>
      <c r="AH3479" s="93"/>
      <c r="AI3479" s="93"/>
      <c r="AJ3479" s="93"/>
    </row>
    <row r="3480" spans="30:36" ht="18">
      <c r="AD3480" s="93"/>
      <c r="AE3480" s="215"/>
      <c r="AF3480" s="93"/>
      <c r="AG3480" s="93"/>
      <c r="AH3480" s="93"/>
      <c r="AI3480" s="93"/>
      <c r="AJ3480" s="93"/>
    </row>
    <row r="3481" spans="30:36" ht="18">
      <c r="AD3481" s="93"/>
      <c r="AE3481" s="215"/>
      <c r="AF3481" s="93"/>
      <c r="AG3481" s="93"/>
      <c r="AH3481" s="93"/>
      <c r="AI3481" s="93"/>
      <c r="AJ3481" s="93"/>
    </row>
    <row r="3482" spans="30:36" ht="18">
      <c r="AD3482" s="93"/>
      <c r="AE3482" s="214"/>
      <c r="AF3482" s="93"/>
      <c r="AG3482" s="93"/>
      <c r="AH3482" s="93"/>
      <c r="AI3482" s="93"/>
      <c r="AJ3482" s="93"/>
    </row>
    <row r="3483" spans="30:36" ht="18">
      <c r="AD3483" s="93"/>
      <c r="AE3483" s="214"/>
      <c r="AF3483" s="93"/>
      <c r="AG3483" s="93"/>
      <c r="AH3483" s="93"/>
      <c r="AI3483" s="93"/>
      <c r="AJ3483" s="93"/>
    </row>
    <row r="3484" spans="30:36" ht="18">
      <c r="AD3484" s="93"/>
      <c r="AE3484" s="214"/>
      <c r="AF3484" s="93"/>
      <c r="AG3484" s="93"/>
      <c r="AH3484" s="93"/>
      <c r="AI3484" s="93"/>
      <c r="AJ3484" s="93"/>
    </row>
    <row r="3485" spans="30:36" ht="18">
      <c r="AD3485" s="93"/>
      <c r="AE3485" s="214"/>
      <c r="AF3485" s="93"/>
      <c r="AG3485" s="93"/>
      <c r="AH3485" s="93"/>
      <c r="AI3485" s="93"/>
      <c r="AJ3485" s="93"/>
    </row>
    <row r="3486" spans="30:36" ht="18">
      <c r="AD3486" s="93"/>
      <c r="AE3486" s="214"/>
      <c r="AF3486" s="93"/>
      <c r="AG3486" s="93"/>
      <c r="AH3486" s="93"/>
      <c r="AI3486" s="93"/>
      <c r="AJ3486" s="93"/>
    </row>
    <row r="3487" spans="30:36" ht="18">
      <c r="AD3487" s="93"/>
      <c r="AE3487" s="214"/>
      <c r="AF3487" s="93"/>
      <c r="AG3487" s="93"/>
      <c r="AH3487" s="93"/>
      <c r="AI3487" s="93"/>
      <c r="AJ3487" s="93"/>
    </row>
    <row r="3488" spans="30:36" ht="18">
      <c r="AD3488" s="93"/>
      <c r="AE3488" s="214"/>
      <c r="AF3488" s="93"/>
      <c r="AG3488" s="93"/>
      <c r="AH3488" s="93"/>
      <c r="AI3488" s="93"/>
      <c r="AJ3488" s="93"/>
    </row>
    <row r="3489" spans="30:36" ht="18">
      <c r="AD3489" s="93"/>
      <c r="AE3489" s="214"/>
      <c r="AF3489" s="93"/>
      <c r="AG3489" s="93"/>
      <c r="AH3489" s="93"/>
      <c r="AI3489" s="93"/>
      <c r="AJ3489" s="93"/>
    </row>
    <row r="3490" spans="30:36" ht="18">
      <c r="AD3490" s="93"/>
      <c r="AE3490" s="214"/>
      <c r="AF3490" s="93"/>
      <c r="AG3490" s="93"/>
      <c r="AH3490" s="93"/>
      <c r="AI3490" s="93"/>
      <c r="AJ3490" s="93"/>
    </row>
    <row r="3491" spans="30:36" ht="18">
      <c r="AD3491" s="93"/>
      <c r="AE3491" s="214"/>
      <c r="AF3491" s="93"/>
      <c r="AG3491" s="93"/>
      <c r="AH3491" s="93"/>
      <c r="AI3491" s="93"/>
      <c r="AJ3491" s="93"/>
    </row>
    <row r="3492" spans="30:36" ht="18">
      <c r="AD3492" s="93"/>
      <c r="AE3492" s="214"/>
      <c r="AF3492" s="93"/>
      <c r="AG3492" s="93"/>
      <c r="AH3492" s="93"/>
      <c r="AI3492" s="93"/>
      <c r="AJ3492" s="93"/>
    </row>
    <row r="3493" spans="30:36" ht="18">
      <c r="AD3493" s="93"/>
      <c r="AE3493" s="214"/>
      <c r="AF3493" s="93"/>
      <c r="AG3493" s="93"/>
      <c r="AH3493" s="93"/>
      <c r="AI3493" s="93"/>
      <c r="AJ3493" s="93"/>
    </row>
    <row r="3494" spans="30:36" ht="18">
      <c r="AD3494" s="93"/>
      <c r="AE3494" s="214"/>
      <c r="AF3494" s="93"/>
      <c r="AG3494" s="93"/>
      <c r="AH3494" s="93"/>
      <c r="AI3494" s="93"/>
      <c r="AJ3494" s="93"/>
    </row>
    <row r="3495" spans="30:36" ht="18">
      <c r="AD3495" s="93"/>
      <c r="AE3495" s="214"/>
      <c r="AF3495" s="93"/>
      <c r="AG3495" s="93"/>
      <c r="AH3495" s="93"/>
      <c r="AI3495" s="93"/>
      <c r="AJ3495" s="93"/>
    </row>
    <row r="3496" spans="30:36" ht="18">
      <c r="AD3496" s="93"/>
      <c r="AE3496" s="214"/>
      <c r="AF3496" s="93"/>
      <c r="AG3496" s="93"/>
      <c r="AH3496" s="93"/>
      <c r="AI3496" s="93"/>
      <c r="AJ3496" s="93"/>
    </row>
    <row r="3497" spans="30:36" ht="18">
      <c r="AD3497" s="93"/>
      <c r="AE3497" s="214"/>
      <c r="AF3497" s="93"/>
      <c r="AG3497" s="93"/>
      <c r="AH3497" s="93"/>
      <c r="AI3497" s="93"/>
      <c r="AJ3497" s="93"/>
    </row>
    <row r="3498" spans="30:36" ht="18">
      <c r="AD3498" s="93"/>
      <c r="AE3498" s="214"/>
      <c r="AF3498" s="93"/>
      <c r="AG3498" s="93"/>
      <c r="AH3498" s="93"/>
      <c r="AI3498" s="93"/>
      <c r="AJ3498" s="93"/>
    </row>
    <row r="3499" spans="30:36" ht="18">
      <c r="AD3499" s="93"/>
      <c r="AE3499" s="214"/>
      <c r="AF3499" s="93"/>
      <c r="AG3499" s="93"/>
      <c r="AH3499" s="93"/>
      <c r="AI3499" s="93"/>
      <c r="AJ3499" s="93"/>
    </row>
    <row r="3500" spans="30:36" ht="18">
      <c r="AD3500" s="93"/>
      <c r="AE3500" s="214"/>
      <c r="AF3500" s="93"/>
      <c r="AG3500" s="93"/>
      <c r="AH3500" s="93"/>
      <c r="AI3500" s="93"/>
      <c r="AJ3500" s="93"/>
    </row>
    <row r="3501" spans="30:36" ht="18">
      <c r="AD3501" s="93"/>
      <c r="AE3501" s="214"/>
      <c r="AF3501" s="93"/>
      <c r="AG3501" s="93"/>
      <c r="AH3501" s="93"/>
      <c r="AI3501" s="93"/>
      <c r="AJ3501" s="93"/>
    </row>
    <row r="3502" spans="30:36" ht="18">
      <c r="AD3502" s="93"/>
      <c r="AE3502" s="214"/>
      <c r="AF3502" s="93"/>
      <c r="AG3502" s="93"/>
      <c r="AH3502" s="93"/>
      <c r="AI3502" s="93"/>
      <c r="AJ3502" s="93"/>
    </row>
    <row r="3503" spans="30:36" ht="18">
      <c r="AD3503" s="93"/>
      <c r="AE3503" s="214"/>
      <c r="AF3503" s="93"/>
      <c r="AG3503" s="93"/>
      <c r="AH3503" s="93"/>
      <c r="AI3503" s="93"/>
      <c r="AJ3503" s="93"/>
    </row>
    <row r="3504" spans="30:36" ht="18">
      <c r="AD3504" s="93"/>
      <c r="AE3504" s="214"/>
      <c r="AF3504" s="93"/>
      <c r="AG3504" s="93"/>
      <c r="AH3504" s="93"/>
      <c r="AI3504" s="93"/>
      <c r="AJ3504" s="93"/>
    </row>
    <row r="3505" spans="30:36" ht="18">
      <c r="AD3505" s="93"/>
      <c r="AE3505" s="214"/>
      <c r="AF3505" s="93"/>
      <c r="AG3505" s="93"/>
      <c r="AH3505" s="93"/>
      <c r="AI3505" s="93"/>
      <c r="AJ3505" s="93"/>
    </row>
    <row r="3506" spans="30:36" ht="18">
      <c r="AD3506" s="93"/>
      <c r="AE3506" s="215"/>
      <c r="AF3506" s="93"/>
      <c r="AG3506" s="93"/>
      <c r="AH3506" s="93"/>
      <c r="AI3506" s="93"/>
      <c r="AJ3506" s="93"/>
    </row>
    <row r="3507" spans="30:36" ht="18">
      <c r="AD3507" s="93"/>
      <c r="AE3507" s="215"/>
      <c r="AF3507" s="93"/>
      <c r="AG3507" s="93"/>
      <c r="AH3507" s="93"/>
      <c r="AI3507" s="93"/>
      <c r="AJ3507" s="93"/>
    </row>
    <row r="3508" spans="30:36" ht="18">
      <c r="AD3508" s="93"/>
      <c r="AE3508" s="214"/>
      <c r="AF3508" s="93"/>
      <c r="AG3508" s="93"/>
      <c r="AH3508" s="93"/>
      <c r="AI3508" s="93"/>
      <c r="AJ3508" s="93"/>
    </row>
    <row r="3509" spans="30:36" ht="18">
      <c r="AD3509" s="93"/>
      <c r="AE3509" s="214"/>
      <c r="AF3509" s="93"/>
      <c r="AG3509" s="93"/>
      <c r="AH3509" s="93"/>
      <c r="AI3509" s="93"/>
      <c r="AJ3509" s="93"/>
    </row>
    <row r="3510" spans="30:36" ht="18">
      <c r="AD3510" s="93"/>
      <c r="AE3510" s="214"/>
      <c r="AF3510" s="93"/>
      <c r="AG3510" s="93"/>
      <c r="AH3510" s="93"/>
      <c r="AI3510" s="93"/>
      <c r="AJ3510" s="93"/>
    </row>
    <row r="3511" spans="30:36" ht="18">
      <c r="AD3511" s="93"/>
      <c r="AE3511" s="214"/>
      <c r="AF3511" s="93"/>
      <c r="AG3511" s="93"/>
      <c r="AH3511" s="93"/>
      <c r="AI3511" s="93"/>
      <c r="AJ3511" s="93"/>
    </row>
    <row r="3512" spans="30:36" ht="18">
      <c r="AD3512" s="93"/>
      <c r="AE3512" s="214"/>
      <c r="AF3512" s="93"/>
      <c r="AG3512" s="93"/>
      <c r="AH3512" s="93"/>
      <c r="AI3512" s="93"/>
      <c r="AJ3512" s="93"/>
    </row>
    <row r="3513" spans="30:36" ht="18">
      <c r="AD3513" s="93"/>
      <c r="AE3513" s="214"/>
      <c r="AF3513" s="93"/>
      <c r="AG3513" s="93"/>
      <c r="AH3513" s="93"/>
      <c r="AI3513" s="93"/>
      <c r="AJ3513" s="93"/>
    </row>
    <row r="3514" spans="30:36" ht="18">
      <c r="AD3514" s="93"/>
      <c r="AE3514" s="214"/>
      <c r="AF3514" s="93"/>
      <c r="AG3514" s="93"/>
      <c r="AH3514" s="93"/>
      <c r="AI3514" s="93"/>
      <c r="AJ3514" s="93"/>
    </row>
    <row r="3515" spans="30:36" ht="18">
      <c r="AD3515" s="93"/>
      <c r="AE3515" s="214"/>
      <c r="AF3515" s="93"/>
      <c r="AG3515" s="93"/>
      <c r="AH3515" s="93"/>
      <c r="AI3515" s="93"/>
      <c r="AJ3515" s="93"/>
    </row>
    <row r="3516" spans="30:36" ht="18">
      <c r="AD3516" s="93"/>
      <c r="AE3516" s="214"/>
      <c r="AF3516" s="93"/>
      <c r="AG3516" s="93"/>
      <c r="AH3516" s="93"/>
      <c r="AI3516" s="93"/>
      <c r="AJ3516" s="93"/>
    </row>
    <row r="3517" spans="30:36" ht="18">
      <c r="AD3517" s="93"/>
      <c r="AE3517" s="214"/>
      <c r="AF3517" s="93"/>
      <c r="AG3517" s="93"/>
      <c r="AH3517" s="93"/>
      <c r="AI3517" s="93"/>
      <c r="AJ3517" s="93"/>
    </row>
    <row r="3518" spans="30:36" ht="18">
      <c r="AD3518" s="93"/>
      <c r="AE3518" s="215"/>
      <c r="AF3518" s="93"/>
      <c r="AG3518" s="93"/>
      <c r="AH3518" s="93"/>
      <c r="AI3518" s="93"/>
      <c r="AJ3518" s="93"/>
    </row>
    <row r="3519" spans="30:36" ht="18">
      <c r="AD3519" s="93"/>
      <c r="AE3519" s="215"/>
      <c r="AF3519" s="93"/>
      <c r="AG3519" s="93"/>
      <c r="AH3519" s="93"/>
      <c r="AI3519" s="93"/>
      <c r="AJ3519" s="93"/>
    </row>
    <row r="3520" spans="30:36" ht="18">
      <c r="AD3520" s="93"/>
      <c r="AE3520" s="214"/>
      <c r="AF3520" s="93"/>
      <c r="AG3520" s="93"/>
      <c r="AH3520" s="93"/>
      <c r="AI3520" s="93"/>
      <c r="AJ3520" s="93"/>
    </row>
    <row r="3521" spans="30:36" ht="18">
      <c r="AD3521" s="93"/>
      <c r="AE3521" s="214"/>
      <c r="AF3521" s="93"/>
      <c r="AG3521" s="93"/>
      <c r="AH3521" s="93"/>
      <c r="AI3521" s="93"/>
      <c r="AJ3521" s="93"/>
    </row>
    <row r="3522" spans="30:36" ht="18">
      <c r="AD3522" s="93"/>
      <c r="AE3522" s="214"/>
      <c r="AF3522" s="93"/>
      <c r="AG3522" s="93"/>
      <c r="AH3522" s="93"/>
      <c r="AI3522" s="93"/>
      <c r="AJ3522" s="93"/>
    </row>
    <row r="3523" spans="30:36" ht="18">
      <c r="AD3523" s="93"/>
      <c r="AE3523" s="214"/>
      <c r="AF3523" s="93"/>
      <c r="AG3523" s="93"/>
      <c r="AH3523" s="93"/>
      <c r="AI3523" s="93"/>
      <c r="AJ3523" s="93"/>
    </row>
    <row r="3524" spans="30:36" ht="18">
      <c r="AD3524" s="93"/>
      <c r="AE3524" s="214"/>
      <c r="AF3524" s="93"/>
      <c r="AG3524" s="93"/>
      <c r="AH3524" s="93"/>
      <c r="AI3524" s="93"/>
      <c r="AJ3524" s="93"/>
    </row>
    <row r="3525" spans="30:36" ht="18">
      <c r="AD3525" s="93"/>
      <c r="AE3525" s="214"/>
      <c r="AF3525" s="93"/>
      <c r="AG3525" s="93"/>
      <c r="AH3525" s="93"/>
      <c r="AI3525" s="93"/>
      <c r="AJ3525" s="93"/>
    </row>
    <row r="3526" spans="30:36" ht="18">
      <c r="AD3526" s="93"/>
      <c r="AE3526" s="214"/>
      <c r="AF3526" s="93"/>
      <c r="AG3526" s="93"/>
      <c r="AH3526" s="93"/>
      <c r="AI3526" s="93"/>
      <c r="AJ3526" s="93"/>
    </row>
    <row r="3527" spans="30:36" ht="18">
      <c r="AD3527" s="93"/>
      <c r="AE3527" s="214"/>
      <c r="AF3527" s="93"/>
      <c r="AG3527" s="93"/>
      <c r="AH3527" s="93"/>
      <c r="AI3527" s="93"/>
      <c r="AJ3527" s="93"/>
    </row>
    <row r="3528" spans="30:36" ht="18">
      <c r="AD3528" s="93"/>
      <c r="AE3528" s="214"/>
      <c r="AF3528" s="93"/>
      <c r="AG3528" s="93"/>
      <c r="AH3528" s="93"/>
      <c r="AI3528" s="93"/>
      <c r="AJ3528" s="93"/>
    </row>
    <row r="3529" spans="30:36" ht="18">
      <c r="AD3529" s="93"/>
      <c r="AE3529" s="214"/>
      <c r="AF3529" s="93"/>
      <c r="AG3529" s="93"/>
      <c r="AH3529" s="93"/>
      <c r="AI3529" s="93"/>
      <c r="AJ3529" s="93"/>
    </row>
    <row r="3530" spans="30:36" ht="18">
      <c r="AD3530" s="93"/>
      <c r="AE3530" s="214"/>
      <c r="AF3530" s="93"/>
      <c r="AG3530" s="93"/>
      <c r="AH3530" s="93"/>
      <c r="AI3530" s="93"/>
      <c r="AJ3530" s="93"/>
    </row>
    <row r="3531" spans="30:36" ht="18">
      <c r="AD3531" s="93"/>
      <c r="AE3531" s="214"/>
      <c r="AF3531" s="93"/>
      <c r="AG3531" s="93"/>
      <c r="AH3531" s="93"/>
      <c r="AI3531" s="93"/>
      <c r="AJ3531" s="93"/>
    </row>
    <row r="3532" spans="30:36" ht="18">
      <c r="AD3532" s="93"/>
      <c r="AE3532" s="214"/>
      <c r="AF3532" s="93"/>
      <c r="AG3532" s="93"/>
      <c r="AH3532" s="93"/>
      <c r="AI3532" s="93"/>
      <c r="AJ3532" s="93"/>
    </row>
    <row r="3533" spans="30:36" ht="18">
      <c r="AD3533" s="93"/>
      <c r="AE3533" s="214"/>
      <c r="AF3533" s="93"/>
      <c r="AG3533" s="93"/>
      <c r="AH3533" s="93"/>
      <c r="AI3533" s="93"/>
      <c r="AJ3533" s="93"/>
    </row>
    <row r="3534" spans="30:36" ht="18">
      <c r="AD3534" s="93"/>
      <c r="AE3534" s="214"/>
      <c r="AF3534" s="93"/>
      <c r="AG3534" s="93"/>
      <c r="AH3534" s="93"/>
      <c r="AI3534" s="93"/>
      <c r="AJ3534" s="93"/>
    </row>
    <row r="3535" spans="30:36" ht="18">
      <c r="AD3535" s="93"/>
      <c r="AE3535" s="214"/>
      <c r="AF3535" s="93"/>
      <c r="AG3535" s="93"/>
      <c r="AH3535" s="93"/>
      <c r="AI3535" s="93"/>
      <c r="AJ3535" s="93"/>
    </row>
    <row r="3536" spans="30:36" ht="18">
      <c r="AD3536" s="93"/>
      <c r="AE3536" s="214"/>
      <c r="AF3536" s="93"/>
      <c r="AG3536" s="93"/>
      <c r="AH3536" s="93"/>
      <c r="AI3536" s="93"/>
      <c r="AJ3536" s="93"/>
    </row>
    <row r="3537" spans="30:36" ht="18">
      <c r="AD3537" s="93"/>
      <c r="AE3537" s="214"/>
      <c r="AF3537" s="93"/>
      <c r="AG3537" s="93"/>
      <c r="AH3537" s="93"/>
      <c r="AI3537" s="93"/>
      <c r="AJ3537" s="93"/>
    </row>
    <row r="3538" spans="30:36" ht="18">
      <c r="AD3538" s="93"/>
      <c r="AE3538" s="214"/>
      <c r="AF3538" s="93"/>
      <c r="AG3538" s="93"/>
      <c r="AH3538" s="93"/>
      <c r="AI3538" s="93"/>
      <c r="AJ3538" s="93"/>
    </row>
    <row r="3539" spans="30:36" ht="18">
      <c r="AD3539" s="93"/>
      <c r="AE3539" s="214"/>
      <c r="AF3539" s="93"/>
      <c r="AG3539" s="93"/>
      <c r="AH3539" s="93"/>
      <c r="AI3539" s="93"/>
      <c r="AJ3539" s="93"/>
    </row>
    <row r="3540" spans="30:36" ht="18">
      <c r="AD3540" s="93"/>
      <c r="AE3540" s="214"/>
      <c r="AF3540" s="93"/>
      <c r="AG3540" s="93"/>
      <c r="AH3540" s="93"/>
      <c r="AI3540" s="93"/>
      <c r="AJ3540" s="93"/>
    </row>
    <row r="3541" spans="30:36" ht="18">
      <c r="AD3541" s="93"/>
      <c r="AE3541" s="214"/>
      <c r="AF3541" s="93"/>
      <c r="AG3541" s="93"/>
      <c r="AH3541" s="93"/>
      <c r="AI3541" s="93"/>
      <c r="AJ3541" s="93"/>
    </row>
    <row r="3542" spans="30:36" ht="18">
      <c r="AD3542" s="93"/>
      <c r="AE3542" s="214"/>
      <c r="AF3542" s="93"/>
      <c r="AG3542" s="93"/>
      <c r="AH3542" s="93"/>
      <c r="AI3542" s="93"/>
      <c r="AJ3542" s="93"/>
    </row>
    <row r="3543" spans="30:36" ht="18">
      <c r="AD3543" s="93"/>
      <c r="AE3543" s="215"/>
      <c r="AF3543" s="93"/>
      <c r="AG3543" s="93"/>
      <c r="AH3543" s="93"/>
      <c r="AI3543" s="93"/>
      <c r="AJ3543" s="93"/>
    </row>
    <row r="3544" spans="30:36" ht="18">
      <c r="AD3544" s="93"/>
      <c r="AE3544" s="214"/>
      <c r="AF3544" s="93"/>
      <c r="AG3544" s="93"/>
      <c r="AH3544" s="93"/>
      <c r="AI3544" s="93"/>
      <c r="AJ3544" s="93"/>
    </row>
    <row r="3545" spans="30:36" ht="18">
      <c r="AD3545" s="93"/>
      <c r="AE3545" s="214"/>
      <c r="AF3545" s="93"/>
      <c r="AG3545" s="93"/>
      <c r="AH3545" s="93"/>
      <c r="AI3545" s="93"/>
      <c r="AJ3545" s="93"/>
    </row>
    <row r="3546" spans="30:36" ht="18">
      <c r="AD3546" s="93"/>
      <c r="AE3546" s="214"/>
      <c r="AF3546" s="93"/>
      <c r="AG3546" s="93"/>
      <c r="AH3546" s="93"/>
      <c r="AI3546" s="93"/>
      <c r="AJ3546" s="93"/>
    </row>
    <row r="3547" spans="30:36" ht="18">
      <c r="AD3547" s="93"/>
      <c r="AE3547" s="214"/>
      <c r="AF3547" s="93"/>
      <c r="AG3547" s="93"/>
      <c r="AH3547" s="93"/>
      <c r="AI3547" s="93"/>
      <c r="AJ3547" s="93"/>
    </row>
    <row r="3548" spans="30:36" ht="18">
      <c r="AD3548" s="93"/>
      <c r="AE3548" s="214"/>
      <c r="AF3548" s="93"/>
      <c r="AG3548" s="93"/>
      <c r="AH3548" s="93"/>
      <c r="AI3548" s="93"/>
      <c r="AJ3548" s="93"/>
    </row>
    <row r="3549" spans="30:36" ht="18">
      <c r="AD3549" s="93"/>
      <c r="AE3549" s="214"/>
      <c r="AF3549" s="93"/>
      <c r="AG3549" s="93"/>
      <c r="AH3549" s="93"/>
      <c r="AI3549" s="93"/>
      <c r="AJ3549" s="93"/>
    </row>
    <row r="3550" spans="30:36" ht="18">
      <c r="AD3550" s="93"/>
      <c r="AE3550" s="214"/>
      <c r="AF3550" s="93"/>
      <c r="AG3550" s="93"/>
      <c r="AH3550" s="93"/>
      <c r="AI3550" s="93"/>
      <c r="AJ3550" s="93"/>
    </row>
    <row r="3551" spans="30:36" ht="18">
      <c r="AD3551" s="93"/>
      <c r="AE3551" s="215"/>
      <c r="AF3551" s="93"/>
      <c r="AG3551" s="93"/>
      <c r="AH3551" s="93"/>
      <c r="AI3551" s="93"/>
      <c r="AJ3551" s="93"/>
    </row>
    <row r="3552" spans="30:36" ht="18">
      <c r="AD3552" s="93"/>
      <c r="AE3552" s="214"/>
      <c r="AF3552" s="93"/>
      <c r="AG3552" s="93"/>
      <c r="AH3552" s="93"/>
      <c r="AI3552" s="93"/>
      <c r="AJ3552" s="93"/>
    </row>
    <row r="3553" spans="30:36" ht="18">
      <c r="AD3553" s="93"/>
      <c r="AE3553" s="214"/>
      <c r="AF3553" s="93"/>
      <c r="AG3553" s="93"/>
      <c r="AH3553" s="93"/>
      <c r="AI3553" s="93"/>
      <c r="AJ3553" s="93"/>
    </row>
    <row r="3554" spans="30:36" ht="18">
      <c r="AD3554" s="93"/>
      <c r="AE3554" s="214"/>
      <c r="AF3554" s="93"/>
      <c r="AG3554" s="93"/>
      <c r="AH3554" s="93"/>
      <c r="AI3554" s="93"/>
      <c r="AJ3554" s="93"/>
    </row>
    <row r="3555" spans="30:36" ht="18">
      <c r="AD3555" s="93"/>
      <c r="AE3555" s="214"/>
      <c r="AF3555" s="93"/>
      <c r="AG3555" s="93"/>
      <c r="AH3555" s="93"/>
      <c r="AI3555" s="93"/>
      <c r="AJ3555" s="93"/>
    </row>
    <row r="3556" spans="30:36" ht="18">
      <c r="AD3556" s="93"/>
      <c r="AE3556" s="214"/>
      <c r="AF3556" s="93"/>
      <c r="AG3556" s="93"/>
      <c r="AH3556" s="93"/>
      <c r="AI3556" s="93"/>
      <c r="AJ3556" s="93"/>
    </row>
    <row r="3557" spans="30:36" ht="18">
      <c r="AD3557" s="93"/>
      <c r="AE3557" s="214"/>
      <c r="AF3557" s="93"/>
      <c r="AG3557" s="93"/>
      <c r="AH3557" s="93"/>
      <c r="AI3557" s="93"/>
      <c r="AJ3557" s="93"/>
    </row>
    <row r="3558" spans="30:36" ht="18">
      <c r="AD3558" s="93"/>
      <c r="AE3558" s="214"/>
      <c r="AF3558" s="93"/>
      <c r="AG3558" s="93"/>
      <c r="AH3558" s="93"/>
      <c r="AI3558" s="93"/>
      <c r="AJ3558" s="93"/>
    </row>
    <row r="3559" spans="30:36" ht="18">
      <c r="AD3559" s="93"/>
      <c r="AE3559" s="214"/>
      <c r="AF3559" s="93"/>
      <c r="AG3559" s="93"/>
      <c r="AH3559" s="93"/>
      <c r="AI3559" s="93"/>
      <c r="AJ3559" s="93"/>
    </row>
    <row r="3560" spans="30:36" ht="18">
      <c r="AD3560" s="93"/>
      <c r="AE3560" s="214"/>
      <c r="AF3560" s="93"/>
      <c r="AG3560" s="93"/>
      <c r="AH3560" s="93"/>
      <c r="AI3560" s="93"/>
      <c r="AJ3560" s="93"/>
    </row>
    <row r="3561" spans="30:36" ht="18">
      <c r="AD3561" s="93"/>
      <c r="AE3561" s="214"/>
      <c r="AF3561" s="93"/>
      <c r="AG3561" s="93"/>
      <c r="AH3561" s="93"/>
      <c r="AI3561" s="93"/>
      <c r="AJ3561" s="93"/>
    </row>
    <row r="3562" spans="30:36" ht="18">
      <c r="AD3562" s="93"/>
      <c r="AE3562" s="214"/>
      <c r="AF3562" s="93"/>
      <c r="AG3562" s="93"/>
      <c r="AH3562" s="93"/>
      <c r="AI3562" s="93"/>
      <c r="AJ3562" s="93"/>
    </row>
    <row r="3563" spans="30:36" ht="18">
      <c r="AD3563" s="93"/>
      <c r="AE3563" s="214"/>
      <c r="AF3563" s="93"/>
      <c r="AG3563" s="93"/>
      <c r="AH3563" s="93"/>
      <c r="AI3563" s="93"/>
      <c r="AJ3563" s="93"/>
    </row>
    <row r="3564" spans="30:36" ht="18">
      <c r="AD3564" s="93"/>
      <c r="AE3564" s="214"/>
      <c r="AF3564" s="93"/>
      <c r="AG3564" s="93"/>
      <c r="AH3564" s="93"/>
      <c r="AI3564" s="93"/>
      <c r="AJ3564" s="93"/>
    </row>
    <row r="3565" spans="30:36" ht="18">
      <c r="AD3565" s="93"/>
      <c r="AE3565" s="214"/>
      <c r="AF3565" s="93"/>
      <c r="AG3565" s="93"/>
      <c r="AH3565" s="93"/>
      <c r="AI3565" s="93"/>
      <c r="AJ3565" s="93"/>
    </row>
    <row r="3566" spans="30:36" ht="18">
      <c r="AD3566" s="93"/>
      <c r="AE3566" s="215"/>
      <c r="AF3566" s="93"/>
      <c r="AG3566" s="93"/>
      <c r="AH3566" s="93"/>
      <c r="AI3566" s="93"/>
      <c r="AJ3566" s="93"/>
    </row>
    <row r="3567" spans="30:36" ht="18">
      <c r="AD3567" s="93"/>
      <c r="AE3567" s="214"/>
      <c r="AF3567" s="93"/>
      <c r="AG3567" s="93"/>
      <c r="AH3567" s="93"/>
      <c r="AI3567" s="93"/>
      <c r="AJ3567" s="93"/>
    </row>
    <row r="3568" spans="30:36" ht="18">
      <c r="AD3568" s="93"/>
      <c r="AE3568" s="214"/>
      <c r="AF3568" s="93"/>
      <c r="AG3568" s="93"/>
      <c r="AH3568" s="93"/>
      <c r="AI3568" s="93"/>
      <c r="AJ3568" s="93"/>
    </row>
    <row r="3569" spans="30:36" ht="18">
      <c r="AD3569" s="93"/>
      <c r="AE3569" s="214"/>
      <c r="AF3569" s="93"/>
      <c r="AG3569" s="93"/>
      <c r="AH3569" s="93"/>
      <c r="AI3569" s="93"/>
      <c r="AJ3569" s="93"/>
    </row>
    <row r="3570" spans="30:36" ht="18">
      <c r="AD3570" s="93"/>
      <c r="AE3570" s="214"/>
      <c r="AF3570" s="93"/>
      <c r="AG3570" s="93"/>
      <c r="AH3570" s="93"/>
      <c r="AI3570" s="93"/>
      <c r="AJ3570" s="93"/>
    </row>
    <row r="3571" spans="30:36" ht="18">
      <c r="AD3571" s="93"/>
      <c r="AE3571" s="214"/>
      <c r="AF3571" s="93"/>
      <c r="AG3571" s="93"/>
      <c r="AH3571" s="93"/>
      <c r="AI3571" s="93"/>
      <c r="AJ3571" s="93"/>
    </row>
    <row r="3572" spans="30:36" ht="18">
      <c r="AD3572" s="93"/>
      <c r="AE3572" s="215"/>
      <c r="AF3572" s="93"/>
      <c r="AG3572" s="93"/>
      <c r="AH3572" s="93"/>
      <c r="AI3572" s="93"/>
      <c r="AJ3572" s="93"/>
    </row>
    <row r="3573" spans="30:36" ht="18">
      <c r="AD3573" s="93"/>
      <c r="AE3573" s="214"/>
      <c r="AF3573" s="93"/>
      <c r="AG3573" s="93"/>
      <c r="AH3573" s="93"/>
      <c r="AI3573" s="93"/>
      <c r="AJ3573" s="93"/>
    </row>
    <row r="3574" spans="30:36" ht="18">
      <c r="AD3574" s="93"/>
      <c r="AE3574" s="214"/>
      <c r="AF3574" s="93"/>
      <c r="AG3574" s="93"/>
      <c r="AH3574" s="93"/>
      <c r="AI3574" s="93"/>
      <c r="AJ3574" s="93"/>
    </row>
    <row r="3575" spans="30:36" ht="18">
      <c r="AD3575" s="93"/>
      <c r="AE3575" s="214"/>
      <c r="AF3575" s="93"/>
      <c r="AG3575" s="93"/>
      <c r="AH3575" s="93"/>
      <c r="AI3575" s="93"/>
      <c r="AJ3575" s="93"/>
    </row>
    <row r="3576" spans="30:36" ht="18">
      <c r="AD3576" s="93"/>
      <c r="AE3576" s="214"/>
      <c r="AF3576" s="93"/>
      <c r="AG3576" s="93"/>
      <c r="AH3576" s="93"/>
      <c r="AI3576" s="93"/>
      <c r="AJ3576" s="93"/>
    </row>
    <row r="3577" spans="30:36" ht="18">
      <c r="AD3577" s="93"/>
      <c r="AE3577" s="214"/>
      <c r="AF3577" s="93"/>
      <c r="AG3577" s="93"/>
      <c r="AH3577" s="93"/>
      <c r="AI3577" s="93"/>
      <c r="AJ3577" s="93"/>
    </row>
    <row r="3578" spans="30:36" ht="18">
      <c r="AD3578" s="93"/>
      <c r="AE3578" s="214"/>
      <c r="AF3578" s="93"/>
      <c r="AG3578" s="93"/>
      <c r="AH3578" s="93"/>
      <c r="AI3578" s="93"/>
      <c r="AJ3578" s="93"/>
    </row>
    <row r="3579" spans="30:36" ht="18">
      <c r="AD3579" s="93"/>
      <c r="AE3579" s="214"/>
      <c r="AF3579" s="93"/>
      <c r="AG3579" s="93"/>
      <c r="AH3579" s="93"/>
      <c r="AI3579" s="93"/>
      <c r="AJ3579" s="93"/>
    </row>
    <row r="3580" spans="30:36" ht="18">
      <c r="AD3580" s="93"/>
      <c r="AE3580" s="214"/>
      <c r="AF3580" s="93"/>
      <c r="AG3580" s="93"/>
      <c r="AH3580" s="93"/>
      <c r="AI3580" s="93"/>
      <c r="AJ3580" s="93"/>
    </row>
    <row r="3581" spans="30:36" ht="18">
      <c r="AD3581" s="93"/>
      <c r="AE3581" s="215"/>
      <c r="AF3581" s="93"/>
      <c r="AG3581" s="93"/>
      <c r="AH3581" s="93"/>
      <c r="AI3581" s="93"/>
      <c r="AJ3581" s="93"/>
    </row>
    <row r="3582" spans="30:36" ht="18">
      <c r="AD3582" s="93"/>
      <c r="AE3582" s="215"/>
      <c r="AF3582" s="93"/>
      <c r="AG3582" s="93"/>
      <c r="AH3582" s="93"/>
      <c r="AI3582" s="93"/>
      <c r="AJ3582" s="93"/>
    </row>
    <row r="3583" spans="30:36" ht="18">
      <c r="AD3583" s="93"/>
      <c r="AE3583" s="214"/>
      <c r="AF3583" s="93"/>
      <c r="AG3583" s="93"/>
      <c r="AH3583" s="93"/>
      <c r="AI3583" s="93"/>
      <c r="AJ3583" s="93"/>
    </row>
    <row r="3584" spans="30:36" ht="18">
      <c r="AD3584" s="93"/>
      <c r="AE3584" s="214"/>
      <c r="AF3584" s="93"/>
      <c r="AG3584" s="93"/>
      <c r="AH3584" s="93"/>
      <c r="AI3584" s="93"/>
      <c r="AJ3584" s="93"/>
    </row>
    <row r="3585" spans="30:36" ht="18">
      <c r="AD3585" s="93"/>
      <c r="AE3585" s="214"/>
      <c r="AF3585" s="93"/>
      <c r="AG3585" s="93"/>
      <c r="AH3585" s="93"/>
      <c r="AI3585" s="93"/>
      <c r="AJ3585" s="93"/>
    </row>
    <row r="3586" spans="30:36" ht="18">
      <c r="AD3586" s="93"/>
      <c r="AE3586" s="214"/>
      <c r="AF3586" s="93"/>
      <c r="AG3586" s="93"/>
      <c r="AH3586" s="93"/>
      <c r="AI3586" s="93"/>
      <c r="AJ3586" s="93"/>
    </row>
    <row r="3587" spans="30:36" ht="18">
      <c r="AD3587" s="93"/>
      <c r="AE3587" s="214"/>
      <c r="AF3587" s="93"/>
      <c r="AG3587" s="93"/>
      <c r="AH3587" s="93"/>
      <c r="AI3587" s="93"/>
      <c r="AJ3587" s="93"/>
    </row>
    <row r="3588" spans="30:36" ht="18">
      <c r="AD3588" s="93"/>
      <c r="AE3588" s="215"/>
      <c r="AF3588" s="93"/>
      <c r="AG3588" s="93"/>
      <c r="AH3588" s="93"/>
      <c r="AI3588" s="93"/>
      <c r="AJ3588" s="93"/>
    </row>
    <row r="3589" spans="30:36" ht="18">
      <c r="AD3589" s="93"/>
      <c r="AE3589" s="215"/>
      <c r="AF3589" s="93"/>
      <c r="AG3589" s="93"/>
      <c r="AH3589" s="93"/>
      <c r="AI3589" s="93"/>
      <c r="AJ3589" s="93"/>
    </row>
    <row r="3590" spans="30:36" ht="18">
      <c r="AD3590" s="93"/>
      <c r="AE3590" s="214"/>
      <c r="AF3590" s="93"/>
      <c r="AG3590" s="93"/>
      <c r="AH3590" s="93"/>
      <c r="AI3590" s="93"/>
      <c r="AJ3590" s="93"/>
    </row>
    <row r="3591" spans="30:36" ht="18">
      <c r="AD3591" s="93"/>
      <c r="AE3591" s="214"/>
      <c r="AF3591" s="93"/>
      <c r="AG3591" s="93"/>
      <c r="AH3591" s="93"/>
      <c r="AI3591" s="93"/>
      <c r="AJ3591" s="93"/>
    </row>
    <row r="3592" spans="30:36" ht="18">
      <c r="AD3592" s="93"/>
      <c r="AE3592" s="214"/>
      <c r="AF3592" s="93"/>
      <c r="AG3592" s="93"/>
      <c r="AH3592" s="93"/>
      <c r="AI3592" s="93"/>
      <c r="AJ3592" s="93"/>
    </row>
    <row r="3593" spans="30:36" ht="18">
      <c r="AD3593" s="93"/>
      <c r="AE3593" s="214"/>
      <c r="AF3593" s="93"/>
      <c r="AG3593" s="93"/>
      <c r="AH3593" s="93"/>
      <c r="AI3593" s="93"/>
      <c r="AJ3593" s="93"/>
    </row>
    <row r="3594" spans="30:36" ht="18">
      <c r="AD3594" s="93"/>
      <c r="AE3594" s="214"/>
      <c r="AF3594" s="93"/>
      <c r="AG3594" s="93"/>
      <c r="AH3594" s="93"/>
      <c r="AI3594" s="93"/>
      <c r="AJ3594" s="93"/>
    </row>
    <row r="3595" spans="30:36" ht="18">
      <c r="AD3595" s="93"/>
      <c r="AE3595" s="214"/>
      <c r="AF3595" s="93"/>
      <c r="AG3595" s="93"/>
      <c r="AH3595" s="93"/>
      <c r="AI3595" s="93"/>
      <c r="AJ3595" s="93"/>
    </row>
    <row r="3596" spans="30:36" ht="18">
      <c r="AD3596" s="93"/>
      <c r="AE3596" s="214"/>
      <c r="AF3596" s="93"/>
      <c r="AG3596" s="93"/>
      <c r="AH3596" s="93"/>
      <c r="AI3596" s="93"/>
      <c r="AJ3596" s="93"/>
    </row>
    <row r="3597" spans="30:36" ht="18">
      <c r="AD3597" s="93"/>
      <c r="AE3597" s="215"/>
      <c r="AF3597" s="93"/>
      <c r="AG3597" s="93"/>
      <c r="AH3597" s="93"/>
      <c r="AI3597" s="93"/>
      <c r="AJ3597" s="93"/>
    </row>
    <row r="3598" spans="30:36" ht="18">
      <c r="AD3598" s="93"/>
      <c r="AE3598" s="215"/>
      <c r="AF3598" s="93"/>
      <c r="AG3598" s="93"/>
      <c r="AH3598" s="93"/>
      <c r="AI3598" s="93"/>
      <c r="AJ3598" s="93"/>
    </row>
    <row r="3599" spans="30:36" ht="18">
      <c r="AD3599" s="93"/>
      <c r="AE3599" s="214"/>
      <c r="AF3599" s="93"/>
      <c r="AG3599" s="93"/>
      <c r="AH3599" s="93"/>
      <c r="AI3599" s="93"/>
      <c r="AJ3599" s="93"/>
    </row>
    <row r="3600" spans="30:36" ht="18">
      <c r="AD3600" s="93"/>
      <c r="AE3600" s="214"/>
      <c r="AF3600" s="93"/>
      <c r="AG3600" s="93"/>
      <c r="AH3600" s="93"/>
      <c r="AI3600" s="93"/>
      <c r="AJ3600" s="93"/>
    </row>
    <row r="3601" spans="30:36" ht="18">
      <c r="AD3601" s="93"/>
      <c r="AE3601" s="214"/>
      <c r="AF3601" s="93"/>
      <c r="AG3601" s="93"/>
      <c r="AH3601" s="93"/>
      <c r="AI3601" s="93"/>
      <c r="AJ3601" s="93"/>
    </row>
    <row r="3602" spans="30:36" ht="18">
      <c r="AD3602" s="93"/>
      <c r="AE3602" s="215"/>
      <c r="AF3602" s="93"/>
      <c r="AG3602" s="93"/>
      <c r="AH3602" s="93"/>
      <c r="AI3602" s="93"/>
      <c r="AJ3602" s="93"/>
    </row>
    <row r="3603" spans="30:36" ht="18">
      <c r="AD3603" s="93"/>
      <c r="AE3603" s="214"/>
      <c r="AF3603" s="93"/>
      <c r="AG3603" s="93"/>
      <c r="AH3603" s="93"/>
      <c r="AI3603" s="93"/>
      <c r="AJ3603" s="93"/>
    </row>
    <row r="3604" spans="30:36" ht="18">
      <c r="AD3604" s="93"/>
      <c r="AE3604" s="214"/>
      <c r="AF3604" s="93"/>
      <c r="AG3604" s="93"/>
      <c r="AH3604" s="93"/>
      <c r="AI3604" s="93"/>
      <c r="AJ3604" s="93"/>
    </row>
    <row r="3605" spans="30:36" ht="18">
      <c r="AD3605" s="93"/>
      <c r="AE3605" s="214"/>
      <c r="AF3605" s="93"/>
      <c r="AG3605" s="93"/>
      <c r="AH3605" s="93"/>
      <c r="AI3605" s="93"/>
      <c r="AJ3605" s="93"/>
    </row>
    <row r="3606" spans="30:36" ht="18">
      <c r="AD3606" s="93"/>
      <c r="AE3606" s="214"/>
      <c r="AF3606" s="93"/>
      <c r="AG3606" s="93"/>
      <c r="AH3606" s="93"/>
      <c r="AI3606" s="93"/>
      <c r="AJ3606" s="93"/>
    </row>
    <row r="3607" spans="30:36" ht="18">
      <c r="AD3607" s="93"/>
      <c r="AE3607" s="214"/>
      <c r="AF3607" s="93"/>
      <c r="AG3607" s="93"/>
      <c r="AH3607" s="93"/>
      <c r="AI3607" s="93"/>
      <c r="AJ3607" s="93"/>
    </row>
    <row r="3608" spans="30:36" ht="18">
      <c r="AD3608" s="93"/>
      <c r="AE3608" s="214"/>
      <c r="AF3608" s="93"/>
      <c r="AG3608" s="93"/>
      <c r="AH3608" s="93"/>
      <c r="AI3608" s="93"/>
      <c r="AJ3608" s="93"/>
    </row>
    <row r="3609" spans="30:36" ht="18">
      <c r="AD3609" s="93"/>
      <c r="AE3609" s="214"/>
      <c r="AF3609" s="93"/>
      <c r="AG3609" s="93"/>
      <c r="AH3609" s="93"/>
      <c r="AI3609" s="93"/>
      <c r="AJ3609" s="93"/>
    </row>
    <row r="3610" spans="30:36" ht="18">
      <c r="AD3610" s="93"/>
      <c r="AE3610" s="214"/>
      <c r="AF3610" s="93"/>
      <c r="AG3610" s="93"/>
      <c r="AH3610" s="93"/>
      <c r="AI3610" s="93"/>
      <c r="AJ3610" s="93"/>
    </row>
    <row r="3611" spans="30:36" ht="18">
      <c r="AD3611" s="93"/>
      <c r="AE3611" s="214"/>
      <c r="AF3611" s="93"/>
      <c r="AG3611" s="93"/>
      <c r="AH3611" s="93"/>
      <c r="AI3611" s="93"/>
      <c r="AJ3611" s="93"/>
    </row>
    <row r="3612" spans="30:36" ht="18">
      <c r="AD3612" s="93"/>
      <c r="AE3612" s="214"/>
      <c r="AF3612" s="93"/>
      <c r="AG3612" s="93"/>
      <c r="AH3612" s="93"/>
      <c r="AI3612" s="93"/>
      <c r="AJ3612" s="93"/>
    </row>
    <row r="3613" spans="30:36" ht="18">
      <c r="AD3613" s="93"/>
      <c r="AE3613" s="214"/>
      <c r="AF3613" s="93"/>
      <c r="AG3613" s="93"/>
      <c r="AH3613" s="93"/>
      <c r="AI3613" s="93"/>
      <c r="AJ3613" s="93"/>
    </row>
    <row r="3614" spans="30:36" ht="18">
      <c r="AD3614" s="93"/>
      <c r="AE3614" s="214"/>
      <c r="AF3614" s="93"/>
      <c r="AG3614" s="93"/>
      <c r="AH3614" s="93"/>
      <c r="AI3614" s="93"/>
      <c r="AJ3614" s="93"/>
    </row>
    <row r="3615" spans="30:36" ht="18">
      <c r="AD3615" s="93"/>
      <c r="AE3615" s="214"/>
      <c r="AF3615" s="93"/>
      <c r="AG3615" s="93"/>
      <c r="AH3615" s="93"/>
      <c r="AI3615" s="93"/>
      <c r="AJ3615" s="93"/>
    </row>
    <row r="3616" spans="30:36" ht="18">
      <c r="AD3616" s="93"/>
      <c r="AE3616" s="214"/>
      <c r="AF3616" s="93"/>
      <c r="AG3616" s="93"/>
      <c r="AH3616" s="93"/>
      <c r="AI3616" s="93"/>
      <c r="AJ3616" s="93"/>
    </row>
    <row r="3617" spans="30:36" ht="18">
      <c r="AD3617" s="93"/>
      <c r="AE3617" s="214"/>
      <c r="AF3617" s="93"/>
      <c r="AG3617" s="93"/>
      <c r="AH3617" s="93"/>
      <c r="AI3617" s="93"/>
      <c r="AJ3617" s="93"/>
    </row>
    <row r="3618" spans="30:36" ht="18">
      <c r="AD3618" s="93"/>
      <c r="AE3618" s="215"/>
      <c r="AF3618" s="93"/>
      <c r="AG3618" s="93"/>
      <c r="AH3618" s="93"/>
      <c r="AI3618" s="93"/>
      <c r="AJ3618" s="93"/>
    </row>
    <row r="3619" spans="30:36" ht="18">
      <c r="AD3619" s="93"/>
      <c r="AE3619" s="215"/>
      <c r="AF3619" s="93"/>
      <c r="AG3619" s="93"/>
      <c r="AH3619" s="93"/>
      <c r="AI3619" s="93"/>
      <c r="AJ3619" s="93"/>
    </row>
    <row r="3620" spans="30:36" ht="18">
      <c r="AD3620" s="93"/>
      <c r="AE3620" s="214"/>
      <c r="AF3620" s="93"/>
      <c r="AG3620" s="93"/>
      <c r="AH3620" s="93"/>
      <c r="AI3620" s="93"/>
      <c r="AJ3620" s="93"/>
    </row>
    <row r="3621" spans="30:36" ht="18">
      <c r="AD3621" s="93"/>
      <c r="AE3621" s="214"/>
      <c r="AF3621" s="93"/>
      <c r="AG3621" s="93"/>
      <c r="AH3621" s="93"/>
      <c r="AI3621" s="93"/>
      <c r="AJ3621" s="93"/>
    </row>
    <row r="3622" spans="30:36" ht="18">
      <c r="AD3622" s="93"/>
      <c r="AE3622" s="214"/>
      <c r="AF3622" s="93"/>
      <c r="AG3622" s="93"/>
      <c r="AH3622" s="93"/>
      <c r="AI3622" s="93"/>
      <c r="AJ3622" s="93"/>
    </row>
    <row r="3623" spans="30:36" ht="18">
      <c r="AD3623" s="93"/>
      <c r="AE3623" s="214"/>
      <c r="AF3623" s="93"/>
      <c r="AG3623" s="93"/>
      <c r="AH3623" s="93"/>
      <c r="AI3623" s="93"/>
      <c r="AJ3623" s="93"/>
    </row>
    <row r="3624" spans="30:36" ht="18">
      <c r="AD3624" s="93"/>
      <c r="AE3624" s="214"/>
      <c r="AF3624" s="93"/>
      <c r="AG3624" s="93"/>
      <c r="AH3624" s="93"/>
      <c r="AI3624" s="93"/>
      <c r="AJ3624" s="93"/>
    </row>
    <row r="3625" spans="30:36" ht="18">
      <c r="AD3625" s="93"/>
      <c r="AE3625" s="214"/>
      <c r="AF3625" s="93"/>
      <c r="AG3625" s="93"/>
      <c r="AH3625" s="93"/>
      <c r="AI3625" s="93"/>
      <c r="AJ3625" s="93"/>
    </row>
    <row r="3626" spans="30:36" ht="18">
      <c r="AD3626" s="93"/>
      <c r="AE3626" s="214"/>
      <c r="AF3626" s="93"/>
      <c r="AG3626" s="93"/>
      <c r="AH3626" s="93"/>
      <c r="AI3626" s="93"/>
      <c r="AJ3626" s="93"/>
    </row>
    <row r="3627" spans="30:36" ht="18">
      <c r="AD3627" s="93"/>
      <c r="AE3627" s="214"/>
      <c r="AF3627" s="93"/>
      <c r="AG3627" s="93"/>
      <c r="AH3627" s="93"/>
      <c r="AI3627" s="93"/>
      <c r="AJ3627" s="93"/>
    </row>
    <row r="3628" spans="30:36" ht="18">
      <c r="AD3628" s="93"/>
      <c r="AE3628" s="214"/>
      <c r="AF3628" s="93"/>
      <c r="AG3628" s="93"/>
      <c r="AH3628" s="93"/>
      <c r="AI3628" s="93"/>
      <c r="AJ3628" s="93"/>
    </row>
    <row r="3629" spans="30:36" ht="18">
      <c r="AD3629" s="93"/>
      <c r="AE3629" s="214"/>
      <c r="AF3629" s="93"/>
      <c r="AG3629" s="93"/>
      <c r="AH3629" s="93"/>
      <c r="AI3629" s="93"/>
      <c r="AJ3629" s="93"/>
    </row>
    <row r="3630" spans="30:36" ht="18">
      <c r="AD3630" s="93"/>
      <c r="AE3630" s="214"/>
      <c r="AF3630" s="93"/>
      <c r="AG3630" s="93"/>
      <c r="AH3630" s="93"/>
      <c r="AI3630" s="93"/>
      <c r="AJ3630" s="93"/>
    </row>
    <row r="3631" spans="30:36" ht="18">
      <c r="AD3631" s="93"/>
      <c r="AE3631" s="214"/>
      <c r="AF3631" s="93"/>
      <c r="AG3631" s="93"/>
      <c r="AH3631" s="93"/>
      <c r="AI3631" s="93"/>
      <c r="AJ3631" s="93"/>
    </row>
    <row r="3632" spans="30:36" ht="18">
      <c r="AD3632" s="93"/>
      <c r="AE3632" s="214"/>
      <c r="AF3632" s="93"/>
      <c r="AG3632" s="93"/>
      <c r="AH3632" s="93"/>
      <c r="AI3632" s="93"/>
      <c r="AJ3632" s="93"/>
    </row>
    <row r="3633" spans="30:36" ht="18">
      <c r="AD3633" s="93"/>
      <c r="AE3633" s="214"/>
      <c r="AF3633" s="93"/>
      <c r="AG3633" s="93"/>
      <c r="AH3633" s="93"/>
      <c r="AI3633" s="93"/>
      <c r="AJ3633" s="93"/>
    </row>
    <row r="3634" spans="30:36" ht="18">
      <c r="AD3634" s="93"/>
      <c r="AE3634" s="214"/>
      <c r="AF3634" s="93"/>
      <c r="AG3634" s="93"/>
      <c r="AH3634" s="93"/>
      <c r="AI3634" s="93"/>
      <c r="AJ3634" s="93"/>
    </row>
    <row r="3635" spans="30:36" ht="18">
      <c r="AD3635" s="93"/>
      <c r="AE3635" s="214"/>
      <c r="AF3635" s="93"/>
      <c r="AG3635" s="93"/>
      <c r="AH3635" s="93"/>
      <c r="AI3635" s="93"/>
      <c r="AJ3635" s="93"/>
    </row>
    <row r="3636" spans="30:36" ht="18">
      <c r="AD3636" s="93"/>
      <c r="AE3636" s="214"/>
      <c r="AF3636" s="93"/>
      <c r="AG3636" s="93"/>
      <c r="AH3636" s="93"/>
      <c r="AI3636" s="93"/>
      <c r="AJ3636" s="93"/>
    </row>
    <row r="3637" spans="30:36" ht="18">
      <c r="AD3637" s="93"/>
      <c r="AE3637" s="214"/>
      <c r="AF3637" s="93"/>
      <c r="AG3637" s="93"/>
      <c r="AH3637" s="93"/>
      <c r="AI3637" s="93"/>
      <c r="AJ3637" s="93"/>
    </row>
    <row r="3638" spans="30:36" ht="18">
      <c r="AD3638" s="93"/>
      <c r="AE3638" s="214"/>
      <c r="AF3638" s="93"/>
      <c r="AG3638" s="93"/>
      <c r="AH3638" s="93"/>
      <c r="AI3638" s="93"/>
      <c r="AJ3638" s="93"/>
    </row>
    <row r="3639" spans="30:36" ht="18">
      <c r="AD3639" s="93"/>
      <c r="AE3639" s="214"/>
      <c r="AF3639" s="93"/>
      <c r="AG3639" s="93"/>
      <c r="AH3639" s="93"/>
      <c r="AI3639" s="93"/>
      <c r="AJ3639" s="93"/>
    </row>
    <row r="3640" spans="30:36" ht="18">
      <c r="AD3640" s="93"/>
      <c r="AE3640" s="214"/>
      <c r="AF3640" s="93"/>
      <c r="AG3640" s="93"/>
      <c r="AH3640" s="93"/>
      <c r="AI3640" s="93"/>
      <c r="AJ3640" s="93"/>
    </row>
    <row r="3641" spans="30:36" ht="18">
      <c r="AD3641" s="93"/>
      <c r="AE3641" s="214"/>
      <c r="AF3641" s="93"/>
      <c r="AG3641" s="93"/>
      <c r="AH3641" s="93"/>
      <c r="AI3641" s="93"/>
      <c r="AJ3641" s="93"/>
    </row>
    <row r="3642" spans="30:36" ht="18">
      <c r="AD3642" s="93"/>
      <c r="AE3642" s="214"/>
      <c r="AF3642" s="93"/>
      <c r="AG3642" s="93"/>
      <c r="AH3642" s="93"/>
      <c r="AI3642" s="93"/>
      <c r="AJ3642" s="93"/>
    </row>
    <row r="3643" spans="30:36" ht="18">
      <c r="AD3643" s="93"/>
      <c r="AE3643" s="214"/>
      <c r="AF3643" s="93"/>
      <c r="AG3643" s="93"/>
      <c r="AH3643" s="93"/>
      <c r="AI3643" s="93"/>
      <c r="AJ3643" s="93"/>
    </row>
    <row r="3644" spans="30:36" ht="18">
      <c r="AD3644" s="93"/>
      <c r="AE3644" s="214"/>
      <c r="AF3644" s="93"/>
      <c r="AG3644" s="93"/>
      <c r="AH3644" s="93"/>
      <c r="AI3644" s="93"/>
      <c r="AJ3644" s="93"/>
    </row>
    <row r="3645" spans="30:36" ht="18">
      <c r="AD3645" s="93"/>
      <c r="AE3645" s="214"/>
      <c r="AF3645" s="93"/>
      <c r="AG3645" s="93"/>
      <c r="AH3645" s="93"/>
      <c r="AI3645" s="93"/>
      <c r="AJ3645" s="93"/>
    </row>
    <row r="3646" spans="30:36" ht="18">
      <c r="AD3646" s="93"/>
      <c r="AE3646" s="214"/>
      <c r="AF3646" s="93"/>
      <c r="AG3646" s="93"/>
      <c r="AH3646" s="93"/>
      <c r="AI3646" s="93"/>
      <c r="AJ3646" s="93"/>
    </row>
    <row r="3647" spans="30:36" ht="18">
      <c r="AD3647" s="93"/>
      <c r="AE3647" s="214"/>
      <c r="AF3647" s="93"/>
      <c r="AG3647" s="93"/>
      <c r="AH3647" s="93"/>
      <c r="AI3647" s="93"/>
      <c r="AJ3647" s="93"/>
    </row>
    <row r="3648" spans="30:36" ht="18">
      <c r="AD3648" s="93"/>
      <c r="AE3648" s="214"/>
      <c r="AF3648" s="93"/>
      <c r="AG3648" s="93"/>
      <c r="AH3648" s="93"/>
      <c r="AI3648" s="93"/>
      <c r="AJ3648" s="93"/>
    </row>
    <row r="3649" spans="30:36" ht="18">
      <c r="AD3649" s="93"/>
      <c r="AE3649" s="214"/>
      <c r="AF3649" s="93"/>
      <c r="AG3649" s="93"/>
      <c r="AH3649" s="93"/>
      <c r="AI3649" s="93"/>
      <c r="AJ3649" s="93"/>
    </row>
    <row r="3650" spans="30:36" ht="18">
      <c r="AD3650" s="93"/>
      <c r="AE3650" s="214"/>
      <c r="AF3650" s="93"/>
      <c r="AG3650" s="93"/>
      <c r="AH3650" s="93"/>
      <c r="AI3650" s="93"/>
      <c r="AJ3650" s="93"/>
    </row>
    <row r="3651" spans="30:36" ht="18">
      <c r="AD3651" s="93"/>
      <c r="AE3651" s="214"/>
      <c r="AF3651" s="93"/>
      <c r="AG3651" s="93"/>
      <c r="AH3651" s="93"/>
      <c r="AI3651" s="93"/>
      <c r="AJ3651" s="93"/>
    </row>
    <row r="3652" spans="30:36" ht="18">
      <c r="AD3652" s="93"/>
      <c r="AE3652" s="214"/>
      <c r="AF3652" s="93"/>
      <c r="AG3652" s="93"/>
      <c r="AH3652" s="93"/>
      <c r="AI3652" s="93"/>
      <c r="AJ3652" s="93"/>
    </row>
    <row r="3653" spans="30:36" ht="18">
      <c r="AD3653" s="93"/>
      <c r="AE3653" s="214"/>
      <c r="AF3653" s="93"/>
      <c r="AG3653" s="93"/>
      <c r="AH3653" s="93"/>
      <c r="AI3653" s="93"/>
      <c r="AJ3653" s="93"/>
    </row>
    <row r="3654" spans="30:36" ht="18">
      <c r="AD3654" s="93"/>
      <c r="AE3654" s="214"/>
      <c r="AF3654" s="93"/>
      <c r="AG3654" s="93"/>
      <c r="AH3654" s="93"/>
      <c r="AI3654" s="93"/>
      <c r="AJ3654" s="93"/>
    </row>
    <row r="3655" spans="30:36" ht="18">
      <c r="AD3655" s="93"/>
      <c r="AE3655" s="214"/>
      <c r="AF3655" s="93"/>
      <c r="AG3655" s="93"/>
      <c r="AH3655" s="93"/>
      <c r="AI3655" s="93"/>
      <c r="AJ3655" s="93"/>
    </row>
    <row r="3656" spans="30:36" ht="18">
      <c r="AD3656" s="93"/>
      <c r="AE3656" s="214"/>
      <c r="AF3656" s="93"/>
      <c r="AG3656" s="93"/>
      <c r="AH3656" s="93"/>
      <c r="AI3656" s="93"/>
      <c r="AJ3656" s="93"/>
    </row>
    <row r="3657" spans="30:36" ht="18">
      <c r="AD3657" s="93"/>
      <c r="AE3657" s="214"/>
      <c r="AF3657" s="93"/>
      <c r="AG3657" s="93"/>
      <c r="AH3657" s="93"/>
      <c r="AI3657" s="93"/>
      <c r="AJ3657" s="93"/>
    </row>
    <row r="3658" spans="30:36" ht="18">
      <c r="AD3658" s="93"/>
      <c r="AE3658" s="214"/>
      <c r="AF3658" s="93"/>
      <c r="AG3658" s="93"/>
      <c r="AH3658" s="93"/>
      <c r="AI3658" s="93"/>
      <c r="AJ3658" s="93"/>
    </row>
    <row r="3659" spans="30:36" ht="18">
      <c r="AD3659" s="93"/>
      <c r="AE3659" s="214"/>
      <c r="AF3659" s="93"/>
      <c r="AG3659" s="93"/>
      <c r="AH3659" s="93"/>
      <c r="AI3659" s="93"/>
      <c r="AJ3659" s="93"/>
    </row>
    <row r="3660" spans="30:36" ht="18">
      <c r="AD3660" s="93"/>
      <c r="AE3660" s="214"/>
      <c r="AF3660" s="93"/>
      <c r="AG3660" s="93"/>
      <c r="AH3660" s="93"/>
      <c r="AI3660" s="93"/>
      <c r="AJ3660" s="93"/>
    </row>
    <row r="3661" spans="30:36" ht="18">
      <c r="AD3661" s="93"/>
      <c r="AE3661" s="214"/>
      <c r="AF3661" s="93"/>
      <c r="AG3661" s="93"/>
      <c r="AH3661" s="93"/>
      <c r="AI3661" s="93"/>
      <c r="AJ3661" s="93"/>
    </row>
    <row r="3662" spans="30:36" ht="18">
      <c r="AD3662" s="93"/>
      <c r="AE3662" s="214"/>
      <c r="AF3662" s="93"/>
      <c r="AG3662" s="93"/>
      <c r="AH3662" s="93"/>
      <c r="AI3662" s="93"/>
      <c r="AJ3662" s="93"/>
    </row>
    <row r="3663" spans="30:36" ht="18">
      <c r="AD3663" s="93"/>
      <c r="AE3663" s="214"/>
      <c r="AF3663" s="93"/>
      <c r="AG3663" s="93"/>
      <c r="AH3663" s="93"/>
      <c r="AI3663" s="93"/>
      <c r="AJ3663" s="93"/>
    </row>
    <row r="3664" spans="30:36" ht="18">
      <c r="AD3664" s="93"/>
      <c r="AE3664" s="214"/>
      <c r="AF3664" s="93"/>
      <c r="AG3664" s="93"/>
      <c r="AH3664" s="93"/>
      <c r="AI3664" s="93"/>
      <c r="AJ3664" s="93"/>
    </row>
    <row r="3665" spans="30:36" ht="18">
      <c r="AD3665" s="93"/>
      <c r="AE3665" s="214"/>
      <c r="AF3665" s="93"/>
      <c r="AG3665" s="93"/>
      <c r="AH3665" s="93"/>
      <c r="AI3665" s="93"/>
      <c r="AJ3665" s="93"/>
    </row>
    <row r="3666" spans="30:36" ht="18">
      <c r="AD3666" s="93"/>
      <c r="AE3666" s="214"/>
      <c r="AF3666" s="93"/>
      <c r="AG3666" s="93"/>
      <c r="AH3666" s="93"/>
      <c r="AI3666" s="93"/>
      <c r="AJ3666" s="93"/>
    </row>
    <row r="3667" spans="30:36" ht="18">
      <c r="AD3667" s="93"/>
      <c r="AE3667" s="214"/>
      <c r="AF3667" s="93"/>
      <c r="AG3667" s="93"/>
      <c r="AH3667" s="93"/>
      <c r="AI3667" s="93"/>
      <c r="AJ3667" s="93"/>
    </row>
    <row r="3668" spans="30:36" ht="18">
      <c r="AD3668" s="93"/>
      <c r="AE3668" s="214"/>
      <c r="AF3668" s="93"/>
      <c r="AG3668" s="93"/>
      <c r="AH3668" s="93"/>
      <c r="AI3668" s="93"/>
      <c r="AJ3668" s="93"/>
    </row>
    <row r="3669" spans="30:36" ht="18">
      <c r="AD3669" s="93"/>
      <c r="AE3669" s="214"/>
      <c r="AF3669" s="93"/>
      <c r="AG3669" s="93"/>
      <c r="AH3669" s="93"/>
      <c r="AI3669" s="93"/>
      <c r="AJ3669" s="93"/>
    </row>
    <row r="3670" spans="30:36" ht="18">
      <c r="AD3670" s="93"/>
      <c r="AE3670" s="214"/>
      <c r="AF3670" s="93"/>
      <c r="AG3670" s="93"/>
      <c r="AH3670" s="93"/>
      <c r="AI3670" s="93"/>
      <c r="AJ3670" s="93"/>
    </row>
    <row r="3671" spans="30:36" ht="18">
      <c r="AD3671" s="93"/>
      <c r="AE3671" s="214"/>
      <c r="AF3671" s="93"/>
      <c r="AG3671" s="93"/>
      <c r="AH3671" s="93"/>
      <c r="AI3671" s="93"/>
      <c r="AJ3671" s="93"/>
    </row>
    <row r="3672" spans="30:36" ht="18">
      <c r="AD3672" s="93"/>
      <c r="AE3672" s="214"/>
      <c r="AF3672" s="93"/>
      <c r="AG3672" s="93"/>
      <c r="AH3672" s="93"/>
      <c r="AI3672" s="93"/>
      <c r="AJ3672" s="93"/>
    </row>
    <row r="3673" spans="30:36" ht="18">
      <c r="AD3673" s="93"/>
      <c r="AE3673" s="214"/>
      <c r="AF3673" s="93"/>
      <c r="AG3673" s="93"/>
      <c r="AH3673" s="93"/>
      <c r="AI3673" s="93"/>
      <c r="AJ3673" s="93"/>
    </row>
    <row r="3674" spans="30:36" ht="18">
      <c r="AD3674" s="93"/>
      <c r="AE3674" s="214"/>
      <c r="AF3674" s="93"/>
      <c r="AG3674" s="93"/>
      <c r="AH3674" s="93"/>
      <c r="AI3674" s="93"/>
      <c r="AJ3674" s="93"/>
    </row>
    <row r="3675" spans="30:36" ht="18">
      <c r="AD3675" s="93"/>
      <c r="AE3675" s="214"/>
      <c r="AF3675" s="93"/>
      <c r="AG3675" s="93"/>
      <c r="AH3675" s="93"/>
      <c r="AI3675" s="93"/>
      <c r="AJ3675" s="93"/>
    </row>
    <row r="3676" spans="30:36" ht="18">
      <c r="AD3676" s="93"/>
      <c r="AE3676" s="214"/>
      <c r="AF3676" s="93"/>
      <c r="AG3676" s="93"/>
      <c r="AH3676" s="93"/>
      <c r="AI3676" s="93"/>
      <c r="AJ3676" s="93"/>
    </row>
    <row r="3677" spans="30:36" ht="18">
      <c r="AD3677" s="93"/>
      <c r="AE3677" s="214"/>
      <c r="AF3677" s="93"/>
      <c r="AG3677" s="93"/>
      <c r="AH3677" s="93"/>
      <c r="AI3677" s="93"/>
      <c r="AJ3677" s="93"/>
    </row>
    <row r="3678" spans="30:36" ht="18">
      <c r="AD3678" s="93"/>
      <c r="AE3678" s="214"/>
      <c r="AF3678" s="93"/>
      <c r="AG3678" s="93"/>
      <c r="AH3678" s="93"/>
      <c r="AI3678" s="93"/>
      <c r="AJ3678" s="93"/>
    </row>
    <row r="3679" spans="30:36" ht="18">
      <c r="AD3679" s="93"/>
      <c r="AE3679" s="214"/>
      <c r="AF3679" s="93"/>
      <c r="AG3679" s="93"/>
      <c r="AH3679" s="93"/>
      <c r="AI3679" s="93"/>
      <c r="AJ3679" s="93"/>
    </row>
    <row r="3680" spans="30:36" ht="18">
      <c r="AD3680" s="93"/>
      <c r="AE3680" s="214"/>
      <c r="AF3680" s="93"/>
      <c r="AG3680" s="93"/>
      <c r="AH3680" s="93"/>
      <c r="AI3680" s="93"/>
      <c r="AJ3680" s="93"/>
    </row>
    <row r="3681" spans="30:36" ht="18">
      <c r="AD3681" s="93"/>
      <c r="AE3681" s="214"/>
      <c r="AF3681" s="93"/>
      <c r="AG3681" s="93"/>
      <c r="AH3681" s="93"/>
      <c r="AI3681" s="93"/>
      <c r="AJ3681" s="93"/>
    </row>
    <row r="3682" spans="30:36" ht="18">
      <c r="AD3682" s="93"/>
      <c r="AE3682" s="214"/>
      <c r="AF3682" s="93"/>
      <c r="AG3682" s="93"/>
      <c r="AH3682" s="93"/>
      <c r="AI3682" s="93"/>
      <c r="AJ3682" s="93"/>
    </row>
    <row r="3683" spans="30:36" ht="18">
      <c r="AD3683" s="93"/>
      <c r="AE3683" s="214"/>
      <c r="AF3683" s="93"/>
      <c r="AG3683" s="93"/>
      <c r="AH3683" s="93"/>
      <c r="AI3683" s="93"/>
      <c r="AJ3683" s="93"/>
    </row>
    <row r="3684" spans="30:36" ht="18">
      <c r="AD3684" s="93"/>
      <c r="AE3684" s="214"/>
      <c r="AF3684" s="93"/>
      <c r="AG3684" s="93"/>
      <c r="AH3684" s="93"/>
      <c r="AI3684" s="93"/>
      <c r="AJ3684" s="93"/>
    </row>
    <row r="3685" spans="30:36" ht="18">
      <c r="AD3685" s="93"/>
      <c r="AE3685" s="214"/>
      <c r="AF3685" s="93"/>
      <c r="AG3685" s="93"/>
      <c r="AH3685" s="93"/>
      <c r="AI3685" s="93"/>
      <c r="AJ3685" s="93"/>
    </row>
    <row r="3686" spans="30:36" ht="18">
      <c r="AD3686" s="93"/>
      <c r="AE3686" s="214"/>
      <c r="AF3686" s="93"/>
      <c r="AG3686" s="93"/>
      <c r="AH3686" s="93"/>
      <c r="AI3686" s="93"/>
      <c r="AJ3686" s="93"/>
    </row>
    <row r="3687" spans="30:36" ht="18">
      <c r="AD3687" s="93"/>
      <c r="AE3687" s="214"/>
      <c r="AF3687" s="93"/>
      <c r="AG3687" s="93"/>
      <c r="AH3687" s="93"/>
      <c r="AI3687" s="93"/>
      <c r="AJ3687" s="93"/>
    </row>
    <row r="3688" spans="30:36" ht="18">
      <c r="AD3688" s="93"/>
      <c r="AE3688" s="214"/>
      <c r="AF3688" s="93"/>
      <c r="AG3688" s="93"/>
      <c r="AH3688" s="93"/>
      <c r="AI3688" s="93"/>
      <c r="AJ3688" s="93"/>
    </row>
    <row r="3689" spans="30:36" ht="18">
      <c r="AD3689" s="93"/>
      <c r="AE3689" s="214"/>
      <c r="AF3689" s="93"/>
      <c r="AG3689" s="93"/>
      <c r="AH3689" s="93"/>
      <c r="AI3689" s="93"/>
      <c r="AJ3689" s="93"/>
    </row>
    <row r="3690" spans="30:36" ht="18">
      <c r="AD3690" s="93"/>
      <c r="AE3690" s="214"/>
      <c r="AF3690" s="93"/>
      <c r="AG3690" s="93"/>
      <c r="AH3690" s="93"/>
      <c r="AI3690" s="93"/>
      <c r="AJ3690" s="93"/>
    </row>
    <row r="3691" spans="30:36" ht="18">
      <c r="AD3691" s="93"/>
      <c r="AE3691" s="214"/>
      <c r="AF3691" s="93"/>
      <c r="AG3691" s="93"/>
      <c r="AH3691" s="93"/>
      <c r="AI3691" s="93"/>
      <c r="AJ3691" s="93"/>
    </row>
    <row r="3692" spans="30:36" ht="18">
      <c r="AD3692" s="93"/>
      <c r="AE3692" s="214"/>
      <c r="AF3692" s="93"/>
      <c r="AG3692" s="93"/>
      <c r="AH3692" s="93"/>
      <c r="AI3692" s="93"/>
      <c r="AJ3692" s="93"/>
    </row>
    <row r="3693" spans="30:36" ht="18">
      <c r="AD3693" s="93"/>
      <c r="AE3693" s="214"/>
      <c r="AF3693" s="93"/>
      <c r="AG3693" s="93"/>
      <c r="AH3693" s="93"/>
      <c r="AI3693" s="93"/>
      <c r="AJ3693" s="93"/>
    </row>
    <row r="3694" spans="30:36" ht="18">
      <c r="AD3694" s="93"/>
      <c r="AE3694" s="215"/>
      <c r="AF3694" s="93"/>
      <c r="AG3694" s="93"/>
      <c r="AH3694" s="93"/>
      <c r="AI3694" s="93"/>
      <c r="AJ3694" s="93"/>
    </row>
    <row r="3695" spans="30:36" ht="18">
      <c r="AD3695" s="93"/>
      <c r="AE3695" s="214"/>
      <c r="AF3695" s="93"/>
      <c r="AG3695" s="93"/>
      <c r="AH3695" s="93"/>
      <c r="AI3695" s="93"/>
      <c r="AJ3695" s="93"/>
    </row>
    <row r="3696" spans="30:36" ht="18">
      <c r="AD3696" s="93"/>
      <c r="AE3696" s="214"/>
      <c r="AF3696" s="93"/>
      <c r="AG3696" s="93"/>
      <c r="AH3696" s="93"/>
      <c r="AI3696" s="93"/>
      <c r="AJ3696" s="93"/>
    </row>
    <row r="3697" spans="30:36" ht="18">
      <c r="AD3697" s="93"/>
      <c r="AE3697" s="214"/>
      <c r="AF3697" s="93"/>
      <c r="AG3697" s="93"/>
      <c r="AH3697" s="93"/>
      <c r="AI3697" s="93"/>
      <c r="AJ3697" s="93"/>
    </row>
    <row r="3698" spans="30:36" ht="18">
      <c r="AD3698" s="93"/>
      <c r="AE3698" s="214"/>
      <c r="AF3698" s="93"/>
      <c r="AG3698" s="93"/>
      <c r="AH3698" s="93"/>
      <c r="AI3698" s="93"/>
      <c r="AJ3698" s="93"/>
    </row>
    <row r="3699" spans="30:36" ht="18">
      <c r="AD3699" s="93"/>
      <c r="AE3699" s="214"/>
      <c r="AF3699" s="93"/>
      <c r="AG3699" s="93"/>
      <c r="AH3699" s="93"/>
      <c r="AI3699" s="93"/>
      <c r="AJ3699" s="93"/>
    </row>
    <row r="3700" spans="30:36" ht="18">
      <c r="AD3700" s="93"/>
      <c r="AE3700" s="214"/>
      <c r="AF3700" s="93"/>
      <c r="AG3700" s="93"/>
      <c r="AH3700" s="93"/>
      <c r="AI3700" s="93"/>
      <c r="AJ3700" s="93"/>
    </row>
    <row r="3701" spans="30:36" ht="18">
      <c r="AD3701" s="93"/>
      <c r="AE3701" s="214"/>
      <c r="AF3701" s="93"/>
      <c r="AG3701" s="93"/>
      <c r="AH3701" s="93"/>
      <c r="AI3701" s="93"/>
      <c r="AJ3701" s="93"/>
    </row>
    <row r="3702" spans="30:36" ht="18">
      <c r="AD3702" s="93"/>
      <c r="AE3702" s="214"/>
      <c r="AF3702" s="93"/>
      <c r="AG3702" s="93"/>
      <c r="AH3702" s="93"/>
      <c r="AI3702" s="93"/>
      <c r="AJ3702" s="93"/>
    </row>
    <row r="3703" spans="30:36" ht="18">
      <c r="AD3703" s="93"/>
      <c r="AE3703" s="214"/>
      <c r="AF3703" s="93"/>
      <c r="AG3703" s="93"/>
      <c r="AH3703" s="93"/>
      <c r="AI3703" s="93"/>
      <c r="AJ3703" s="93"/>
    </row>
    <row r="3704" spans="30:36" ht="18">
      <c r="AD3704" s="93"/>
      <c r="AE3704" s="214"/>
      <c r="AF3704" s="93"/>
      <c r="AG3704" s="93"/>
      <c r="AH3704" s="93"/>
      <c r="AI3704" s="93"/>
      <c r="AJ3704" s="93"/>
    </row>
    <row r="3705" spans="30:36" ht="18">
      <c r="AD3705" s="93"/>
      <c r="AE3705" s="214"/>
      <c r="AF3705" s="93"/>
      <c r="AG3705" s="93"/>
      <c r="AH3705" s="93"/>
      <c r="AI3705" s="93"/>
      <c r="AJ3705" s="93"/>
    </row>
    <row r="3706" spans="30:36" ht="18">
      <c r="AD3706" s="93"/>
      <c r="AE3706" s="215"/>
      <c r="AF3706" s="93"/>
      <c r="AG3706" s="93"/>
      <c r="AH3706" s="93"/>
      <c r="AI3706" s="93"/>
      <c r="AJ3706" s="93"/>
    </row>
    <row r="3707" spans="30:36" ht="18">
      <c r="AD3707" s="93"/>
      <c r="AE3707" s="215"/>
      <c r="AF3707" s="93"/>
      <c r="AG3707" s="93"/>
      <c r="AH3707" s="93"/>
      <c r="AI3707" s="93"/>
      <c r="AJ3707" s="93"/>
    </row>
    <row r="3708" spans="30:36" ht="18">
      <c r="AD3708" s="93"/>
      <c r="AE3708" s="214"/>
      <c r="AF3708" s="93"/>
      <c r="AG3708" s="93"/>
      <c r="AH3708" s="93"/>
      <c r="AI3708" s="93"/>
      <c r="AJ3708" s="93"/>
    </row>
    <row r="3709" spans="30:36" ht="18">
      <c r="AD3709" s="93"/>
      <c r="AE3709" s="214"/>
      <c r="AF3709" s="93"/>
      <c r="AG3709" s="93"/>
      <c r="AH3709" s="93"/>
      <c r="AI3709" s="93"/>
      <c r="AJ3709" s="93"/>
    </row>
    <row r="3710" spans="30:36" ht="18">
      <c r="AD3710" s="93"/>
      <c r="AE3710" s="214"/>
      <c r="AF3710" s="93"/>
      <c r="AG3710" s="93"/>
      <c r="AH3710" s="93"/>
      <c r="AI3710" s="93"/>
      <c r="AJ3710" s="93"/>
    </row>
    <row r="3711" spans="30:36" ht="18">
      <c r="AD3711" s="93"/>
      <c r="AE3711" s="214"/>
      <c r="AF3711" s="93"/>
      <c r="AG3711" s="93"/>
      <c r="AH3711" s="93"/>
      <c r="AI3711" s="93"/>
      <c r="AJ3711" s="93"/>
    </row>
    <row r="3712" spans="30:36" ht="18">
      <c r="AD3712" s="93"/>
      <c r="AE3712" s="214"/>
      <c r="AF3712" s="93"/>
      <c r="AG3712" s="93"/>
      <c r="AH3712" s="93"/>
      <c r="AI3712" s="93"/>
      <c r="AJ3712" s="93"/>
    </row>
    <row r="3713" spans="30:36" ht="18">
      <c r="AD3713" s="93"/>
      <c r="AE3713" s="215"/>
      <c r="AF3713" s="93"/>
      <c r="AG3713" s="93"/>
      <c r="AH3713" s="93"/>
      <c r="AI3713" s="93"/>
      <c r="AJ3713" s="93"/>
    </row>
    <row r="3714" spans="30:36" ht="18">
      <c r="AD3714" s="93"/>
      <c r="AE3714" s="215"/>
      <c r="AF3714" s="93"/>
      <c r="AG3714" s="93"/>
      <c r="AH3714" s="93"/>
      <c r="AI3714" s="93"/>
      <c r="AJ3714" s="93"/>
    </row>
    <row r="3715" spans="30:36" ht="18">
      <c r="AD3715" s="93"/>
      <c r="AE3715" s="214"/>
      <c r="AF3715" s="93"/>
      <c r="AG3715" s="93"/>
      <c r="AH3715" s="93"/>
      <c r="AI3715" s="93"/>
      <c r="AJ3715" s="93"/>
    </row>
    <row r="3716" spans="30:36" ht="18">
      <c r="AD3716" s="93"/>
      <c r="AE3716" s="214"/>
      <c r="AF3716" s="93"/>
      <c r="AG3716" s="93"/>
      <c r="AH3716" s="93"/>
      <c r="AI3716" s="93"/>
      <c r="AJ3716" s="93"/>
    </row>
    <row r="3717" spans="30:36" ht="18">
      <c r="AD3717" s="93"/>
      <c r="AE3717" s="214"/>
      <c r="AF3717" s="93"/>
      <c r="AG3717" s="93"/>
      <c r="AH3717" s="93"/>
      <c r="AI3717" s="93"/>
      <c r="AJ3717" s="93"/>
    </row>
    <row r="3718" spans="30:36" ht="18">
      <c r="AD3718" s="93"/>
      <c r="AE3718" s="214"/>
      <c r="AF3718" s="93"/>
      <c r="AG3718" s="93"/>
      <c r="AH3718" s="93"/>
      <c r="AI3718" s="93"/>
      <c r="AJ3718" s="93"/>
    </row>
    <row r="3719" spans="30:36" ht="18">
      <c r="AD3719" s="93"/>
      <c r="AE3719" s="215"/>
      <c r="AF3719" s="93"/>
      <c r="AG3719" s="93"/>
      <c r="AH3719" s="93"/>
      <c r="AI3719" s="93"/>
      <c r="AJ3719" s="93"/>
    </row>
    <row r="3720" spans="30:36" ht="18">
      <c r="AD3720" s="93"/>
      <c r="AE3720" s="215"/>
      <c r="AF3720" s="93"/>
      <c r="AG3720" s="93"/>
      <c r="AH3720" s="93"/>
      <c r="AI3720" s="93"/>
      <c r="AJ3720" s="93"/>
    </row>
    <row r="3721" spans="30:36" ht="18">
      <c r="AD3721" s="93"/>
      <c r="AE3721" s="214"/>
      <c r="AF3721" s="93"/>
      <c r="AG3721" s="93"/>
      <c r="AH3721" s="93"/>
      <c r="AI3721" s="93"/>
      <c r="AJ3721" s="93"/>
    </row>
    <row r="3722" spans="30:36" ht="18">
      <c r="AD3722" s="93"/>
      <c r="AE3722" s="214"/>
      <c r="AF3722" s="93"/>
      <c r="AG3722" s="93"/>
      <c r="AH3722" s="93"/>
      <c r="AI3722" s="93"/>
      <c r="AJ3722" s="93"/>
    </row>
    <row r="3723" spans="30:36" ht="18">
      <c r="AD3723" s="93"/>
      <c r="AE3723" s="214"/>
      <c r="AF3723" s="93"/>
      <c r="AG3723" s="93"/>
      <c r="AH3723" s="93"/>
      <c r="AI3723" s="93"/>
      <c r="AJ3723" s="93"/>
    </row>
    <row r="3724" spans="30:36" ht="18">
      <c r="AD3724" s="93"/>
      <c r="AE3724" s="214"/>
      <c r="AF3724" s="93"/>
      <c r="AG3724" s="93"/>
      <c r="AH3724" s="93"/>
      <c r="AI3724" s="93"/>
      <c r="AJ3724" s="93"/>
    </row>
    <row r="3725" spans="30:36" ht="18">
      <c r="AD3725" s="93"/>
      <c r="AE3725" s="214"/>
      <c r="AF3725" s="93"/>
      <c r="AG3725" s="93"/>
      <c r="AH3725" s="93"/>
      <c r="AI3725" s="93"/>
      <c r="AJ3725" s="93"/>
    </row>
    <row r="3726" spans="30:36" ht="18">
      <c r="AD3726" s="93"/>
      <c r="AE3726" s="214"/>
      <c r="AF3726" s="93"/>
      <c r="AG3726" s="93"/>
      <c r="AH3726" s="93"/>
      <c r="AI3726" s="93"/>
      <c r="AJ3726" s="93"/>
    </row>
    <row r="3727" spans="30:36" ht="18">
      <c r="AD3727" s="93"/>
      <c r="AE3727" s="214"/>
      <c r="AF3727" s="93"/>
      <c r="AG3727" s="93"/>
      <c r="AH3727" s="93"/>
      <c r="AI3727" s="93"/>
      <c r="AJ3727" s="93"/>
    </row>
    <row r="3728" spans="30:36" ht="18">
      <c r="AD3728" s="93"/>
      <c r="AE3728" s="214"/>
      <c r="AF3728" s="93"/>
      <c r="AG3728" s="93"/>
      <c r="AH3728" s="93"/>
      <c r="AI3728" s="93"/>
      <c r="AJ3728" s="93"/>
    </row>
    <row r="3729" spans="30:36" ht="18">
      <c r="AD3729" s="93"/>
      <c r="AE3729" s="214"/>
      <c r="AF3729" s="93"/>
      <c r="AG3729" s="93"/>
      <c r="AH3729" s="93"/>
      <c r="AI3729" s="93"/>
      <c r="AJ3729" s="93"/>
    </row>
    <row r="3730" spans="30:36" ht="18">
      <c r="AD3730" s="93"/>
      <c r="AE3730" s="214"/>
      <c r="AF3730" s="93"/>
      <c r="AG3730" s="93"/>
      <c r="AH3730" s="93"/>
      <c r="AI3730" s="93"/>
      <c r="AJ3730" s="93"/>
    </row>
    <row r="3731" spans="30:36" ht="18">
      <c r="AD3731" s="93"/>
      <c r="AE3731" s="214"/>
      <c r="AF3731" s="93"/>
      <c r="AG3731" s="93"/>
      <c r="AH3731" s="93"/>
      <c r="AI3731" s="93"/>
      <c r="AJ3731" s="93"/>
    </row>
    <row r="3732" spans="30:36" ht="18">
      <c r="AD3732" s="93"/>
      <c r="AE3732" s="214"/>
      <c r="AF3732" s="93"/>
      <c r="AG3732" s="93"/>
      <c r="AH3732" s="93"/>
      <c r="AI3732" s="93"/>
      <c r="AJ3732" s="93"/>
    </row>
    <row r="3733" spans="30:36" ht="18">
      <c r="AD3733" s="93"/>
      <c r="AE3733" s="215"/>
      <c r="AF3733" s="93"/>
      <c r="AG3733" s="93"/>
      <c r="AH3733" s="93"/>
      <c r="AI3733" s="93"/>
      <c r="AJ3733" s="93"/>
    </row>
    <row r="3734" spans="30:36" ht="18">
      <c r="AD3734" s="93"/>
      <c r="AE3734" s="215"/>
      <c r="AF3734" s="93"/>
      <c r="AG3734" s="93"/>
      <c r="AH3734" s="93"/>
      <c r="AI3734" s="93"/>
      <c r="AJ3734" s="93"/>
    </row>
    <row r="3735" spans="30:36" ht="18">
      <c r="AD3735" s="93"/>
      <c r="AE3735" s="214"/>
      <c r="AF3735" s="93"/>
      <c r="AG3735" s="93"/>
      <c r="AH3735" s="93"/>
      <c r="AI3735" s="93"/>
      <c r="AJ3735" s="93"/>
    </row>
    <row r="3736" spans="30:36" ht="18">
      <c r="AD3736" s="93"/>
      <c r="AE3736" s="214"/>
      <c r="AF3736" s="93"/>
      <c r="AG3736" s="93"/>
      <c r="AH3736" s="93"/>
      <c r="AI3736" s="93"/>
      <c r="AJ3736" s="93"/>
    </row>
    <row r="3737" spans="30:36" ht="18">
      <c r="AD3737" s="93"/>
      <c r="AE3737" s="214"/>
      <c r="AF3737" s="93"/>
      <c r="AG3737" s="93"/>
      <c r="AH3737" s="93"/>
      <c r="AI3737" s="93"/>
      <c r="AJ3737" s="93"/>
    </row>
    <row r="3738" spans="30:36" ht="18">
      <c r="AD3738" s="93"/>
      <c r="AE3738" s="214"/>
      <c r="AF3738" s="93"/>
      <c r="AG3738" s="93"/>
      <c r="AH3738" s="93"/>
      <c r="AI3738" s="93"/>
      <c r="AJ3738" s="93"/>
    </row>
    <row r="3739" spans="30:36" ht="18">
      <c r="AD3739" s="93"/>
      <c r="AE3739" s="214"/>
      <c r="AF3739" s="93"/>
      <c r="AG3739" s="93"/>
      <c r="AH3739" s="93"/>
      <c r="AI3739" s="93"/>
      <c r="AJ3739" s="93"/>
    </row>
    <row r="3740" spans="30:36" ht="18">
      <c r="AD3740" s="93"/>
      <c r="AE3740" s="214"/>
      <c r="AF3740" s="93"/>
      <c r="AG3740" s="93"/>
      <c r="AH3740" s="93"/>
      <c r="AI3740" s="93"/>
      <c r="AJ3740" s="93"/>
    </row>
    <row r="3741" spans="30:36" ht="18">
      <c r="AD3741" s="93"/>
      <c r="AE3741" s="214"/>
      <c r="AF3741" s="93"/>
      <c r="AG3741" s="93"/>
      <c r="AH3741" s="93"/>
      <c r="AI3741" s="93"/>
      <c r="AJ3741" s="93"/>
    </row>
    <row r="3742" spans="30:36" ht="18">
      <c r="AD3742" s="93"/>
      <c r="AE3742" s="214"/>
      <c r="AF3742" s="93"/>
      <c r="AG3742" s="93"/>
      <c r="AH3742" s="93"/>
      <c r="AI3742" s="93"/>
      <c r="AJ3742" s="93"/>
    </row>
    <row r="3743" spans="30:36" ht="18">
      <c r="AD3743" s="93"/>
      <c r="AE3743" s="214"/>
      <c r="AF3743" s="93"/>
      <c r="AG3743" s="93"/>
      <c r="AH3743" s="93"/>
      <c r="AI3743" s="93"/>
      <c r="AJ3743" s="93"/>
    </row>
    <row r="3744" spans="30:36" ht="18">
      <c r="AD3744" s="93"/>
      <c r="AE3744" s="214"/>
      <c r="AF3744" s="93"/>
      <c r="AG3744" s="93"/>
      <c r="AH3744" s="93"/>
      <c r="AI3744" s="93"/>
      <c r="AJ3744" s="93"/>
    </row>
    <row r="3745" spans="30:36" ht="18">
      <c r="AD3745" s="93"/>
      <c r="AE3745" s="215"/>
      <c r="AF3745" s="93"/>
      <c r="AG3745" s="93"/>
      <c r="AH3745" s="93"/>
      <c r="AI3745" s="93"/>
      <c r="AJ3745" s="93"/>
    </row>
    <row r="3746" spans="30:36" ht="18">
      <c r="AD3746" s="93"/>
      <c r="AE3746" s="215"/>
      <c r="AF3746" s="93"/>
      <c r="AG3746" s="93"/>
      <c r="AH3746" s="93"/>
      <c r="AI3746" s="93"/>
      <c r="AJ3746" s="93"/>
    </row>
    <row r="3747" spans="30:36" ht="18">
      <c r="AD3747" s="93"/>
      <c r="AE3747" s="214"/>
      <c r="AF3747" s="93"/>
      <c r="AG3747" s="93"/>
      <c r="AH3747" s="93"/>
      <c r="AI3747" s="93"/>
      <c r="AJ3747" s="93"/>
    </row>
    <row r="3748" spans="30:36" ht="18">
      <c r="AD3748" s="93"/>
      <c r="AE3748" s="214"/>
      <c r="AF3748" s="93"/>
      <c r="AG3748" s="93"/>
      <c r="AH3748" s="93"/>
      <c r="AI3748" s="93"/>
      <c r="AJ3748" s="93"/>
    </row>
    <row r="3749" spans="30:36" ht="18">
      <c r="AD3749" s="93"/>
      <c r="AE3749" s="214"/>
      <c r="AF3749" s="93"/>
      <c r="AG3749" s="93"/>
      <c r="AH3749" s="93"/>
      <c r="AI3749" s="93"/>
      <c r="AJ3749" s="93"/>
    </row>
    <row r="3750" spans="30:36" ht="18">
      <c r="AD3750" s="93"/>
      <c r="AE3750" s="214"/>
      <c r="AF3750" s="93"/>
      <c r="AG3750" s="93"/>
      <c r="AH3750" s="93"/>
      <c r="AI3750" s="93"/>
      <c r="AJ3750" s="93"/>
    </row>
    <row r="3751" spans="30:36" ht="18">
      <c r="AD3751" s="93"/>
      <c r="AE3751" s="214"/>
      <c r="AF3751" s="93"/>
      <c r="AG3751" s="93"/>
      <c r="AH3751" s="93"/>
      <c r="AI3751" s="93"/>
      <c r="AJ3751" s="93"/>
    </row>
    <row r="3752" spans="30:36" ht="18">
      <c r="AD3752" s="93"/>
      <c r="AE3752" s="214"/>
      <c r="AF3752" s="93"/>
      <c r="AG3752" s="93"/>
      <c r="AH3752" s="93"/>
      <c r="AI3752" s="93"/>
      <c r="AJ3752" s="93"/>
    </row>
    <row r="3753" spans="30:36" ht="18">
      <c r="AD3753" s="93"/>
      <c r="AE3753" s="214"/>
      <c r="AF3753" s="93"/>
      <c r="AG3753" s="93"/>
      <c r="AH3753" s="93"/>
      <c r="AI3753" s="93"/>
      <c r="AJ3753" s="93"/>
    </row>
    <row r="3754" spans="30:36" ht="18">
      <c r="AD3754" s="93"/>
      <c r="AE3754" s="214"/>
      <c r="AF3754" s="93"/>
      <c r="AG3754" s="93"/>
      <c r="AH3754" s="93"/>
      <c r="AI3754" s="93"/>
      <c r="AJ3754" s="93"/>
    </row>
    <row r="3755" spans="30:36" ht="18">
      <c r="AD3755" s="93"/>
      <c r="AE3755" s="214"/>
      <c r="AF3755" s="93"/>
      <c r="AG3755" s="93"/>
      <c r="AH3755" s="93"/>
      <c r="AI3755" s="93"/>
      <c r="AJ3755" s="93"/>
    </row>
    <row r="3756" spans="30:36" ht="18">
      <c r="AD3756" s="93"/>
      <c r="AE3756" s="214"/>
      <c r="AF3756" s="93"/>
      <c r="AG3756" s="93"/>
      <c r="AH3756" s="93"/>
      <c r="AI3756" s="93"/>
      <c r="AJ3756" s="93"/>
    </row>
    <row r="3757" spans="30:36" ht="18">
      <c r="AD3757" s="93"/>
      <c r="AE3757" s="214"/>
      <c r="AF3757" s="93"/>
      <c r="AG3757" s="93"/>
      <c r="AH3757" s="93"/>
      <c r="AI3757" s="93"/>
      <c r="AJ3757" s="93"/>
    </row>
    <row r="3758" spans="30:36" ht="18">
      <c r="AD3758" s="93"/>
      <c r="AE3758" s="214"/>
      <c r="AF3758" s="93"/>
      <c r="AG3758" s="93"/>
      <c r="AH3758" s="93"/>
      <c r="AI3758" s="93"/>
      <c r="AJ3758" s="93"/>
    </row>
    <row r="3759" spans="30:36" ht="18">
      <c r="AD3759" s="93"/>
      <c r="AE3759" s="214"/>
      <c r="AF3759" s="93"/>
      <c r="AG3759" s="93"/>
      <c r="AH3759" s="93"/>
      <c r="AI3759" s="93"/>
      <c r="AJ3759" s="93"/>
    </row>
    <row r="3760" spans="30:36" ht="18">
      <c r="AD3760" s="93"/>
      <c r="AE3760" s="215"/>
      <c r="AF3760" s="93"/>
      <c r="AG3760" s="93"/>
      <c r="AH3760" s="93"/>
      <c r="AI3760" s="93"/>
      <c r="AJ3760" s="93"/>
    </row>
    <row r="3761" spans="30:36" ht="18">
      <c r="AD3761" s="93"/>
      <c r="AE3761" s="215"/>
      <c r="AF3761" s="93"/>
      <c r="AG3761" s="93"/>
      <c r="AH3761" s="93"/>
      <c r="AI3761" s="93"/>
      <c r="AJ3761" s="93"/>
    </row>
    <row r="3762" spans="30:36" ht="18">
      <c r="AD3762" s="93"/>
      <c r="AE3762" s="214"/>
      <c r="AF3762" s="93"/>
      <c r="AG3762" s="93"/>
      <c r="AH3762" s="93"/>
      <c r="AI3762" s="93"/>
      <c r="AJ3762" s="93"/>
    </row>
    <row r="3763" spans="30:36" ht="18">
      <c r="AD3763" s="93"/>
      <c r="AE3763" s="214"/>
      <c r="AF3763" s="93"/>
      <c r="AG3763" s="93"/>
      <c r="AH3763" s="93"/>
      <c r="AI3763" s="93"/>
      <c r="AJ3763" s="93"/>
    </row>
    <row r="3764" spans="30:36" ht="18">
      <c r="AD3764" s="93"/>
      <c r="AE3764" s="214"/>
      <c r="AF3764" s="93"/>
      <c r="AG3764" s="93"/>
      <c r="AH3764" s="93"/>
      <c r="AI3764" s="93"/>
      <c r="AJ3764" s="93"/>
    </row>
    <row r="3765" spans="30:36" ht="18">
      <c r="AD3765" s="93"/>
      <c r="AE3765" s="214"/>
      <c r="AF3765" s="93"/>
      <c r="AG3765" s="93"/>
      <c r="AH3765" s="93"/>
      <c r="AI3765" s="93"/>
      <c r="AJ3765" s="93"/>
    </row>
    <row r="3766" spans="30:36" ht="18">
      <c r="AD3766" s="93"/>
      <c r="AE3766" s="214"/>
      <c r="AF3766" s="93"/>
      <c r="AG3766" s="93"/>
      <c r="AH3766" s="93"/>
      <c r="AI3766" s="93"/>
      <c r="AJ3766" s="93"/>
    </row>
    <row r="3767" spans="30:36" ht="18">
      <c r="AD3767" s="93"/>
      <c r="AE3767" s="214"/>
      <c r="AF3767" s="93"/>
      <c r="AG3767" s="93"/>
      <c r="AH3767" s="93"/>
      <c r="AI3767" s="93"/>
      <c r="AJ3767" s="93"/>
    </row>
    <row r="3768" spans="30:36" ht="18">
      <c r="AD3768" s="93"/>
      <c r="AE3768" s="214"/>
      <c r="AF3768" s="93"/>
      <c r="AG3768" s="93"/>
      <c r="AH3768" s="93"/>
      <c r="AI3768" s="93"/>
      <c r="AJ3768" s="93"/>
    </row>
    <row r="3769" spans="30:36" ht="18">
      <c r="AD3769" s="93"/>
      <c r="AE3769" s="215"/>
      <c r="AF3769" s="93"/>
      <c r="AG3769" s="93"/>
      <c r="AH3769" s="93"/>
      <c r="AI3769" s="93"/>
      <c r="AJ3769" s="93"/>
    </row>
    <row r="3770" spans="30:36" ht="18">
      <c r="AD3770" s="93"/>
      <c r="AE3770" s="214"/>
      <c r="AF3770" s="93"/>
      <c r="AG3770" s="93"/>
      <c r="AH3770" s="93"/>
      <c r="AI3770" s="93"/>
      <c r="AJ3770" s="93"/>
    </row>
    <row r="3771" spans="30:36" ht="18">
      <c r="AD3771" s="93"/>
      <c r="AE3771" s="214"/>
      <c r="AF3771" s="93"/>
      <c r="AG3771" s="93"/>
      <c r="AH3771" s="93"/>
      <c r="AI3771" s="93"/>
      <c r="AJ3771" s="93"/>
    </row>
    <row r="3772" spans="30:36" ht="18">
      <c r="AD3772" s="93"/>
      <c r="AE3772" s="214"/>
      <c r="AF3772" s="93"/>
      <c r="AG3772" s="93"/>
      <c r="AH3772" s="93"/>
      <c r="AI3772" s="93"/>
      <c r="AJ3772" s="93"/>
    </row>
    <row r="3773" spans="30:36" ht="18">
      <c r="AD3773" s="93"/>
      <c r="AE3773" s="214"/>
      <c r="AF3773" s="93"/>
      <c r="AG3773" s="93"/>
      <c r="AH3773" s="93"/>
      <c r="AI3773" s="93"/>
      <c r="AJ3773" s="93"/>
    </row>
    <row r="3774" spans="30:36" ht="18">
      <c r="AD3774" s="93"/>
      <c r="AE3774" s="214"/>
      <c r="AF3774" s="93"/>
      <c r="AG3774" s="93"/>
      <c r="AH3774" s="93"/>
      <c r="AI3774" s="93"/>
      <c r="AJ3774" s="93"/>
    </row>
    <row r="3775" spans="30:36" ht="18">
      <c r="AD3775" s="93"/>
      <c r="AE3775" s="214"/>
      <c r="AF3775" s="93"/>
      <c r="AG3775" s="93"/>
      <c r="AH3775" s="93"/>
      <c r="AI3775" s="93"/>
      <c r="AJ3775" s="93"/>
    </row>
    <row r="3776" spans="30:36" ht="18">
      <c r="AD3776" s="93"/>
      <c r="AE3776" s="215"/>
      <c r="AF3776" s="93"/>
      <c r="AG3776" s="93"/>
      <c r="AH3776" s="93"/>
      <c r="AI3776" s="93"/>
      <c r="AJ3776" s="93"/>
    </row>
    <row r="3777" spans="30:36" ht="18">
      <c r="AD3777" s="93"/>
      <c r="AE3777" s="215"/>
      <c r="AF3777" s="93"/>
      <c r="AG3777" s="93"/>
      <c r="AH3777" s="93"/>
      <c r="AI3777" s="93"/>
      <c r="AJ3777" s="93"/>
    </row>
    <row r="3778" spans="30:36" ht="18">
      <c r="AD3778" s="93"/>
      <c r="AE3778" s="214"/>
      <c r="AF3778" s="93"/>
      <c r="AG3778" s="93"/>
      <c r="AH3778" s="93"/>
      <c r="AI3778" s="93"/>
      <c r="AJ3778" s="93"/>
    </row>
    <row r="3779" spans="30:36" ht="18">
      <c r="AD3779" s="93"/>
      <c r="AE3779" s="214"/>
      <c r="AF3779" s="93"/>
      <c r="AG3779" s="93"/>
      <c r="AH3779" s="93"/>
      <c r="AI3779" s="93"/>
      <c r="AJ3779" s="93"/>
    </row>
    <row r="3780" spans="30:36" ht="18">
      <c r="AD3780" s="93"/>
      <c r="AE3780" s="214"/>
      <c r="AF3780" s="93"/>
      <c r="AG3780" s="93"/>
      <c r="AH3780" s="93"/>
      <c r="AI3780" s="93"/>
      <c r="AJ3780" s="93"/>
    </row>
    <row r="3781" spans="30:36" ht="18">
      <c r="AD3781" s="93"/>
      <c r="AE3781" s="214"/>
      <c r="AF3781" s="93"/>
      <c r="AG3781" s="93"/>
      <c r="AH3781" s="93"/>
      <c r="AI3781" s="93"/>
      <c r="AJ3781" s="93"/>
    </row>
    <row r="3782" spans="30:36" ht="18">
      <c r="AD3782" s="93"/>
      <c r="AE3782" s="214"/>
      <c r="AF3782" s="93"/>
      <c r="AG3782" s="93"/>
      <c r="AH3782" s="93"/>
      <c r="AI3782" s="93"/>
      <c r="AJ3782" s="93"/>
    </row>
    <row r="3783" spans="30:36" ht="18">
      <c r="AD3783" s="93"/>
      <c r="AE3783" s="214"/>
      <c r="AF3783" s="93"/>
      <c r="AG3783" s="93"/>
      <c r="AH3783" s="93"/>
      <c r="AI3783" s="93"/>
      <c r="AJ3783" s="93"/>
    </row>
    <row r="3784" spans="30:36" ht="18">
      <c r="AD3784" s="93"/>
      <c r="AE3784" s="215"/>
      <c r="AF3784" s="93"/>
      <c r="AG3784" s="93"/>
      <c r="AH3784" s="93"/>
      <c r="AI3784" s="93"/>
      <c r="AJ3784" s="93"/>
    </row>
    <row r="3785" spans="30:36" ht="18">
      <c r="AD3785" s="93"/>
      <c r="AE3785" s="215"/>
      <c r="AF3785" s="93"/>
      <c r="AG3785" s="93"/>
      <c r="AH3785" s="93"/>
      <c r="AI3785" s="93"/>
      <c r="AJ3785" s="93"/>
    </row>
    <row r="3786" spans="30:36" ht="18">
      <c r="AD3786" s="93"/>
      <c r="AE3786" s="214"/>
      <c r="AF3786" s="93"/>
      <c r="AG3786" s="93"/>
      <c r="AH3786" s="93"/>
      <c r="AI3786" s="93"/>
      <c r="AJ3786" s="93"/>
    </row>
    <row r="3787" spans="30:36" ht="18">
      <c r="AD3787" s="93"/>
      <c r="AE3787" s="214"/>
      <c r="AF3787" s="93"/>
      <c r="AG3787" s="93"/>
      <c r="AH3787" s="93"/>
      <c r="AI3787" s="93"/>
      <c r="AJ3787" s="93"/>
    </row>
    <row r="3788" spans="30:36" ht="18">
      <c r="AD3788" s="93"/>
      <c r="AE3788" s="215"/>
      <c r="AF3788" s="93"/>
      <c r="AG3788" s="93"/>
      <c r="AH3788" s="93"/>
      <c r="AI3788" s="93"/>
      <c r="AJ3788" s="93"/>
    </row>
    <row r="3789" spans="30:36" ht="18">
      <c r="AD3789" s="93"/>
      <c r="AE3789" s="214"/>
      <c r="AF3789" s="93"/>
      <c r="AG3789" s="93"/>
      <c r="AH3789" s="93"/>
      <c r="AI3789" s="93"/>
      <c r="AJ3789" s="93"/>
    </row>
    <row r="3790" spans="30:36" ht="18">
      <c r="AD3790" s="93"/>
      <c r="AE3790" s="214"/>
      <c r="AF3790" s="93"/>
      <c r="AG3790" s="93"/>
      <c r="AH3790" s="93"/>
      <c r="AI3790" s="93"/>
      <c r="AJ3790" s="93"/>
    </row>
    <row r="3791" spans="30:36" ht="18">
      <c r="AD3791" s="93"/>
      <c r="AE3791" s="214"/>
      <c r="AF3791" s="93"/>
      <c r="AG3791" s="93"/>
      <c r="AH3791" s="93"/>
      <c r="AI3791" s="93"/>
      <c r="AJ3791" s="93"/>
    </row>
    <row r="3792" spans="30:36" ht="18">
      <c r="AD3792" s="93"/>
      <c r="AE3792" s="214"/>
      <c r="AF3792" s="93"/>
      <c r="AG3792" s="93"/>
      <c r="AH3792" s="93"/>
      <c r="AI3792" s="93"/>
      <c r="AJ3792" s="93"/>
    </row>
    <row r="3793" spans="30:36" ht="18">
      <c r="AD3793" s="93"/>
      <c r="AE3793" s="214"/>
      <c r="AF3793" s="93"/>
      <c r="AG3793" s="93"/>
      <c r="AH3793" s="93"/>
      <c r="AI3793" s="93"/>
      <c r="AJ3793" s="93"/>
    </row>
    <row r="3794" spans="30:36" ht="18">
      <c r="AD3794" s="93"/>
      <c r="AE3794" s="214"/>
      <c r="AF3794" s="93"/>
      <c r="AG3794" s="93"/>
      <c r="AH3794" s="93"/>
      <c r="AI3794" s="93"/>
      <c r="AJ3794" s="93"/>
    </row>
    <row r="3795" spans="30:36" ht="18">
      <c r="AD3795" s="93"/>
      <c r="AE3795" s="215"/>
      <c r="AF3795" s="93"/>
      <c r="AG3795" s="93"/>
      <c r="AH3795" s="93"/>
      <c r="AI3795" s="93"/>
      <c r="AJ3795" s="93"/>
    </row>
    <row r="3796" spans="30:36" ht="18">
      <c r="AD3796" s="93"/>
      <c r="AE3796" s="214"/>
      <c r="AF3796" s="93"/>
      <c r="AG3796" s="93"/>
      <c r="AH3796" s="93"/>
      <c r="AI3796" s="93"/>
      <c r="AJ3796" s="93"/>
    </row>
    <row r="3797" spans="30:36" ht="18">
      <c r="AD3797" s="93"/>
      <c r="AE3797" s="214"/>
      <c r="AF3797" s="93"/>
      <c r="AG3797" s="93"/>
      <c r="AH3797" s="93"/>
      <c r="AI3797" s="93"/>
      <c r="AJ3797" s="93"/>
    </row>
    <row r="3798" spans="30:36" ht="18">
      <c r="AD3798" s="93"/>
      <c r="AE3798" s="215"/>
      <c r="AF3798" s="93"/>
      <c r="AG3798" s="93"/>
      <c r="AH3798" s="93"/>
      <c r="AI3798" s="93"/>
      <c r="AJ3798" s="93"/>
    </row>
    <row r="3799" spans="30:36" ht="18">
      <c r="AD3799" s="93"/>
      <c r="AE3799" s="215"/>
      <c r="AF3799" s="93"/>
      <c r="AG3799" s="93"/>
      <c r="AH3799" s="93"/>
      <c r="AI3799" s="93"/>
      <c r="AJ3799" s="93"/>
    </row>
    <row r="3800" spans="30:36" ht="18">
      <c r="AD3800" s="93"/>
      <c r="AE3800" s="214"/>
      <c r="AF3800" s="93"/>
      <c r="AG3800" s="93"/>
      <c r="AH3800" s="93"/>
      <c r="AI3800" s="93"/>
      <c r="AJ3800" s="93"/>
    </row>
    <row r="3801" spans="30:36" ht="18">
      <c r="AD3801" s="93"/>
      <c r="AE3801" s="214"/>
      <c r="AF3801" s="93"/>
      <c r="AG3801" s="93"/>
      <c r="AH3801" s="93"/>
      <c r="AI3801" s="93"/>
      <c r="AJ3801" s="93"/>
    </row>
    <row r="3802" spans="30:36" ht="18">
      <c r="AD3802" s="93"/>
      <c r="AE3802" s="214"/>
      <c r="AF3802" s="93"/>
      <c r="AG3802" s="93"/>
      <c r="AH3802" s="93"/>
      <c r="AI3802" s="93"/>
      <c r="AJ3802" s="93"/>
    </row>
    <row r="3803" spans="30:36" ht="18">
      <c r="AD3803" s="93"/>
      <c r="AE3803" s="215"/>
      <c r="AF3803" s="93"/>
      <c r="AG3803" s="93"/>
      <c r="AH3803" s="93"/>
      <c r="AI3803" s="93"/>
      <c r="AJ3803" s="93"/>
    </row>
    <row r="3804" spans="30:36" ht="18">
      <c r="AD3804" s="93"/>
      <c r="AE3804" s="215"/>
      <c r="AF3804" s="93"/>
      <c r="AG3804" s="93"/>
      <c r="AH3804" s="93"/>
      <c r="AI3804" s="93"/>
      <c r="AJ3804" s="93"/>
    </row>
    <row r="3805" spans="30:36" ht="18">
      <c r="AD3805" s="93"/>
      <c r="AE3805" s="214"/>
      <c r="AF3805" s="93"/>
      <c r="AG3805" s="93"/>
      <c r="AH3805" s="93"/>
      <c r="AI3805" s="93"/>
      <c r="AJ3805" s="93"/>
    </row>
    <row r="3806" spans="30:36" ht="18">
      <c r="AD3806" s="93"/>
      <c r="AE3806" s="214"/>
      <c r="AF3806" s="93"/>
      <c r="AG3806" s="93"/>
      <c r="AH3806" s="93"/>
      <c r="AI3806" s="93"/>
      <c r="AJ3806" s="93"/>
    </row>
    <row r="3807" spans="30:36" ht="18">
      <c r="AD3807" s="93"/>
      <c r="AE3807" s="214"/>
      <c r="AF3807" s="93"/>
      <c r="AG3807" s="93"/>
      <c r="AH3807" s="93"/>
      <c r="AI3807" s="93"/>
      <c r="AJ3807" s="93"/>
    </row>
    <row r="3808" spans="30:36" ht="18">
      <c r="AD3808" s="93"/>
      <c r="AE3808" s="214"/>
      <c r="AF3808" s="93"/>
      <c r="AG3808" s="93"/>
      <c r="AH3808" s="93"/>
      <c r="AI3808" s="93"/>
      <c r="AJ3808" s="93"/>
    </row>
    <row r="3809" spans="30:36" ht="18">
      <c r="AD3809" s="93"/>
      <c r="AE3809" s="215"/>
      <c r="AF3809" s="93"/>
      <c r="AG3809" s="93"/>
      <c r="AH3809" s="93"/>
      <c r="AI3809" s="93"/>
      <c r="AJ3809" s="93"/>
    </row>
    <row r="3810" spans="30:36" ht="18">
      <c r="AD3810" s="93"/>
      <c r="AE3810" s="215"/>
      <c r="AF3810" s="93"/>
      <c r="AG3810" s="93"/>
      <c r="AH3810" s="93"/>
      <c r="AI3810" s="93"/>
      <c r="AJ3810" s="93"/>
    </row>
    <row r="3811" spans="30:36" ht="18">
      <c r="AD3811" s="93"/>
      <c r="AE3811" s="214"/>
      <c r="AF3811" s="93"/>
      <c r="AG3811" s="93"/>
      <c r="AH3811" s="93"/>
      <c r="AI3811" s="93"/>
      <c r="AJ3811" s="93"/>
    </row>
    <row r="3812" spans="30:36" ht="18">
      <c r="AD3812" s="93"/>
      <c r="AE3812" s="214"/>
      <c r="AF3812" s="93"/>
      <c r="AG3812" s="93"/>
      <c r="AH3812" s="93"/>
      <c r="AI3812" s="93"/>
      <c r="AJ3812" s="93"/>
    </row>
    <row r="3813" spans="30:36" ht="18">
      <c r="AD3813" s="93"/>
      <c r="AE3813" s="214"/>
      <c r="AF3813" s="93"/>
      <c r="AG3813" s="93"/>
      <c r="AH3813" s="93"/>
      <c r="AI3813" s="93"/>
      <c r="AJ3813" s="93"/>
    </row>
    <row r="3814" spans="30:36" ht="18">
      <c r="AD3814" s="93"/>
      <c r="AE3814" s="214"/>
      <c r="AF3814" s="93"/>
      <c r="AG3814" s="93"/>
      <c r="AH3814" s="93"/>
      <c r="AI3814" s="93"/>
      <c r="AJ3814" s="93"/>
    </row>
    <row r="3815" spans="30:36" ht="18">
      <c r="AD3815" s="93"/>
      <c r="AE3815" s="215"/>
      <c r="AF3815" s="93"/>
      <c r="AG3815" s="93"/>
      <c r="AH3815" s="93"/>
      <c r="AI3815" s="93"/>
      <c r="AJ3815" s="93"/>
    </row>
    <row r="3816" spans="30:36" ht="18">
      <c r="AD3816" s="93"/>
      <c r="AE3816" s="215"/>
      <c r="AF3816" s="93"/>
      <c r="AG3816" s="93"/>
      <c r="AH3816" s="93"/>
      <c r="AI3816" s="93"/>
      <c r="AJ3816" s="93"/>
    </row>
    <row r="3817" spans="30:36" ht="18">
      <c r="AD3817" s="93"/>
      <c r="AE3817" s="214"/>
      <c r="AF3817" s="93"/>
      <c r="AG3817" s="93"/>
      <c r="AH3817" s="93"/>
      <c r="AI3817" s="93"/>
      <c r="AJ3817" s="93"/>
    </row>
    <row r="3818" spans="30:36" ht="18">
      <c r="AD3818" s="93"/>
      <c r="AE3818" s="214"/>
      <c r="AF3818" s="93"/>
      <c r="AG3818" s="93"/>
      <c r="AH3818" s="93"/>
      <c r="AI3818" s="93"/>
      <c r="AJ3818" s="93"/>
    </row>
    <row r="3819" spans="30:36" ht="18">
      <c r="AD3819" s="93"/>
      <c r="AE3819" s="214"/>
      <c r="AF3819" s="93"/>
      <c r="AG3819" s="93"/>
      <c r="AH3819" s="93"/>
      <c r="AI3819" s="93"/>
      <c r="AJ3819" s="93"/>
    </row>
    <row r="3820" spans="30:36" ht="18">
      <c r="AD3820" s="93"/>
      <c r="AE3820" s="215"/>
      <c r="AF3820" s="93"/>
      <c r="AG3820" s="93"/>
      <c r="AH3820" s="93"/>
      <c r="AI3820" s="93"/>
      <c r="AJ3820" s="93"/>
    </row>
    <row r="3821" spans="30:36" ht="18">
      <c r="AD3821" s="93"/>
      <c r="AE3821" s="214"/>
      <c r="AF3821" s="93"/>
      <c r="AG3821" s="93"/>
      <c r="AH3821" s="93"/>
      <c r="AI3821" s="93"/>
      <c r="AJ3821" s="93"/>
    </row>
    <row r="3822" spans="30:36" ht="18">
      <c r="AD3822" s="93"/>
      <c r="AE3822" s="214"/>
      <c r="AF3822" s="93"/>
      <c r="AG3822" s="93"/>
      <c r="AH3822" s="93"/>
      <c r="AI3822" s="93"/>
      <c r="AJ3822" s="93"/>
    </row>
    <row r="3823" spans="30:36" ht="18">
      <c r="AD3823" s="93"/>
      <c r="AE3823" s="214"/>
      <c r="AF3823" s="93"/>
      <c r="AG3823" s="93"/>
      <c r="AH3823" s="93"/>
      <c r="AI3823" s="93"/>
      <c r="AJ3823" s="93"/>
    </row>
    <row r="3824" spans="30:36" ht="18">
      <c r="AD3824" s="93"/>
      <c r="AE3824" s="214"/>
      <c r="AF3824" s="93"/>
      <c r="AG3824" s="93"/>
      <c r="AH3824" s="93"/>
      <c r="AI3824" s="93"/>
      <c r="AJ3824" s="93"/>
    </row>
    <row r="3825" spans="30:36" ht="18">
      <c r="AD3825" s="93"/>
      <c r="AE3825" s="214"/>
      <c r="AF3825" s="93"/>
      <c r="AG3825" s="93"/>
      <c r="AH3825" s="93"/>
      <c r="AI3825" s="93"/>
      <c r="AJ3825" s="93"/>
    </row>
    <row r="3826" spans="30:36" ht="18">
      <c r="AD3826" s="93"/>
      <c r="AE3826" s="214"/>
      <c r="AF3826" s="93"/>
      <c r="AG3826" s="93"/>
      <c r="AH3826" s="93"/>
      <c r="AI3826" s="93"/>
      <c r="AJ3826" s="93"/>
    </row>
    <row r="3827" spans="30:36" ht="18">
      <c r="AD3827" s="93"/>
      <c r="AE3827" s="214"/>
      <c r="AF3827" s="93"/>
      <c r="AG3827" s="93"/>
      <c r="AH3827" s="93"/>
      <c r="AI3827" s="93"/>
      <c r="AJ3827" s="93"/>
    </row>
    <row r="3828" spans="30:36" ht="18">
      <c r="AD3828" s="93"/>
      <c r="AE3828" s="214"/>
      <c r="AF3828" s="93"/>
      <c r="AG3828" s="93"/>
      <c r="AH3828" s="93"/>
      <c r="AI3828" s="93"/>
      <c r="AJ3828" s="93"/>
    </row>
    <row r="3829" spans="30:36" ht="18">
      <c r="AD3829" s="93"/>
      <c r="AE3829" s="214"/>
      <c r="AF3829" s="93"/>
      <c r="AG3829" s="93"/>
      <c r="AH3829" s="93"/>
      <c r="AI3829" s="93"/>
      <c r="AJ3829" s="93"/>
    </row>
    <row r="3830" spans="30:36" ht="18">
      <c r="AD3830" s="93"/>
      <c r="AE3830" s="215"/>
      <c r="AF3830" s="93"/>
      <c r="AG3830" s="93"/>
      <c r="AH3830" s="93"/>
      <c r="AI3830" s="93"/>
      <c r="AJ3830" s="93"/>
    </row>
    <row r="3831" spans="30:36" ht="18">
      <c r="AD3831" s="93"/>
      <c r="AE3831" s="214"/>
      <c r="AF3831" s="93"/>
      <c r="AG3831" s="93"/>
      <c r="AH3831" s="93"/>
      <c r="AI3831" s="93"/>
      <c r="AJ3831" s="93"/>
    </row>
    <row r="3832" spans="30:36" ht="18">
      <c r="AD3832" s="93"/>
      <c r="AE3832" s="214"/>
      <c r="AF3832" s="93"/>
      <c r="AG3832" s="93"/>
      <c r="AH3832" s="93"/>
      <c r="AI3832" s="93"/>
      <c r="AJ3832" s="93"/>
    </row>
    <row r="3833" spans="30:36" ht="18">
      <c r="AD3833" s="93"/>
      <c r="AE3833" s="214"/>
      <c r="AF3833" s="93"/>
      <c r="AG3833" s="93"/>
      <c r="AH3833" s="93"/>
      <c r="AI3833" s="93"/>
      <c r="AJ3833" s="93"/>
    </row>
    <row r="3834" spans="30:36" ht="18">
      <c r="AD3834" s="93"/>
      <c r="AE3834" s="214"/>
      <c r="AF3834" s="93"/>
      <c r="AG3834" s="93"/>
      <c r="AH3834" s="93"/>
      <c r="AI3834" s="93"/>
      <c r="AJ3834" s="93"/>
    </row>
    <row r="3835" spans="30:36" ht="18">
      <c r="AD3835" s="93"/>
      <c r="AE3835" s="214"/>
      <c r="AF3835" s="93"/>
      <c r="AG3835" s="93"/>
      <c r="AH3835" s="93"/>
      <c r="AI3835" s="93"/>
      <c r="AJ3835" s="93"/>
    </row>
    <row r="3836" spans="30:36" ht="18">
      <c r="AD3836" s="93"/>
      <c r="AE3836" s="214"/>
      <c r="AF3836" s="93"/>
      <c r="AG3836" s="93"/>
      <c r="AH3836" s="93"/>
      <c r="AI3836" s="93"/>
      <c r="AJ3836" s="93"/>
    </row>
    <row r="3837" spans="30:36" ht="18">
      <c r="AD3837" s="93"/>
      <c r="AE3837" s="214"/>
      <c r="AF3837" s="93"/>
      <c r="AG3837" s="93"/>
      <c r="AH3837" s="93"/>
      <c r="AI3837" s="93"/>
      <c r="AJ3837" s="93"/>
    </row>
    <row r="3838" spans="30:36" ht="18">
      <c r="AD3838" s="93"/>
      <c r="AE3838" s="214"/>
      <c r="AF3838" s="93"/>
      <c r="AG3838" s="93"/>
      <c r="AH3838" s="93"/>
      <c r="AI3838" s="93"/>
      <c r="AJ3838" s="93"/>
    </row>
    <row r="3839" spans="30:36" ht="18">
      <c r="AD3839" s="93"/>
      <c r="AE3839" s="215"/>
      <c r="AF3839" s="93"/>
      <c r="AG3839" s="93"/>
      <c r="AH3839" s="93"/>
      <c r="AI3839" s="93"/>
      <c r="AJ3839" s="93"/>
    </row>
    <row r="3840" spans="30:36" ht="18">
      <c r="AD3840" s="93"/>
      <c r="AE3840" s="215"/>
      <c r="AF3840" s="93"/>
      <c r="AG3840" s="93"/>
      <c r="AH3840" s="93"/>
      <c r="AI3840" s="93"/>
      <c r="AJ3840" s="93"/>
    </row>
    <row r="3841" spans="30:36" ht="18">
      <c r="AD3841" s="93"/>
      <c r="AE3841" s="215"/>
      <c r="AF3841" s="93"/>
      <c r="AG3841" s="93"/>
      <c r="AH3841" s="93"/>
      <c r="AI3841" s="93"/>
      <c r="AJ3841" s="93"/>
    </row>
    <row r="3842" spans="30:36" ht="18">
      <c r="AD3842" s="93"/>
      <c r="AE3842" s="214"/>
      <c r="AF3842" s="93"/>
      <c r="AG3842" s="93"/>
      <c r="AH3842" s="93"/>
      <c r="AI3842" s="93"/>
      <c r="AJ3842" s="93"/>
    </row>
    <row r="3843" spans="30:36" ht="18">
      <c r="AD3843" s="93"/>
      <c r="AE3843" s="214"/>
      <c r="AF3843" s="93"/>
      <c r="AG3843" s="93"/>
      <c r="AH3843" s="93"/>
      <c r="AI3843" s="93"/>
      <c r="AJ3843" s="93"/>
    </row>
    <row r="3844" spans="30:36" ht="18">
      <c r="AD3844" s="93"/>
      <c r="AE3844" s="214"/>
      <c r="AF3844" s="93"/>
      <c r="AG3844" s="93"/>
      <c r="AH3844" s="93"/>
      <c r="AI3844" s="93"/>
      <c r="AJ3844" s="93"/>
    </row>
    <row r="3845" spans="30:36" ht="18">
      <c r="AD3845" s="93"/>
      <c r="AE3845" s="214"/>
      <c r="AF3845" s="93"/>
      <c r="AG3845" s="93"/>
      <c r="AH3845" s="93"/>
      <c r="AI3845" s="93"/>
      <c r="AJ3845" s="93"/>
    </row>
    <row r="3846" spans="30:36" ht="18">
      <c r="AD3846" s="93"/>
      <c r="AE3846" s="215"/>
      <c r="AF3846" s="93"/>
      <c r="AG3846" s="93"/>
      <c r="AH3846" s="93"/>
      <c r="AI3846" s="93"/>
      <c r="AJ3846" s="93"/>
    </row>
    <row r="3847" spans="30:36" ht="18">
      <c r="AD3847" s="93"/>
      <c r="AE3847" s="215"/>
      <c r="AF3847" s="93"/>
      <c r="AG3847" s="93"/>
      <c r="AH3847" s="93"/>
      <c r="AI3847" s="93"/>
      <c r="AJ3847" s="93"/>
    </row>
    <row r="3848" spans="30:36" ht="18">
      <c r="AD3848" s="93"/>
      <c r="AE3848" s="214"/>
      <c r="AF3848" s="93"/>
      <c r="AG3848" s="93"/>
      <c r="AH3848" s="93"/>
      <c r="AI3848" s="93"/>
      <c r="AJ3848" s="93"/>
    </row>
    <row r="3849" spans="30:36" ht="18">
      <c r="AD3849" s="93"/>
      <c r="AE3849" s="214"/>
      <c r="AF3849" s="93"/>
      <c r="AG3849" s="93"/>
      <c r="AH3849" s="93"/>
      <c r="AI3849" s="93"/>
      <c r="AJ3849" s="93"/>
    </row>
    <row r="3850" spans="30:36" ht="18">
      <c r="AD3850" s="93"/>
      <c r="AE3850" s="214"/>
      <c r="AF3850" s="93"/>
      <c r="AG3850" s="93"/>
      <c r="AH3850" s="93"/>
      <c r="AI3850" s="93"/>
      <c r="AJ3850" s="93"/>
    </row>
    <row r="3851" spans="30:36" ht="18">
      <c r="AD3851" s="93"/>
      <c r="AE3851" s="214"/>
      <c r="AF3851" s="93"/>
      <c r="AG3851" s="93"/>
      <c r="AH3851" s="93"/>
      <c r="AI3851" s="93"/>
      <c r="AJ3851" s="93"/>
    </row>
    <row r="3852" spans="30:36" ht="18">
      <c r="AD3852" s="93"/>
      <c r="AE3852" s="214"/>
      <c r="AF3852" s="93"/>
      <c r="AG3852" s="93"/>
      <c r="AH3852" s="93"/>
      <c r="AI3852" s="93"/>
      <c r="AJ3852" s="93"/>
    </row>
    <row r="3853" spans="30:36" ht="18">
      <c r="AD3853" s="93"/>
      <c r="AE3853" s="214"/>
      <c r="AF3853" s="93"/>
      <c r="AG3853" s="93"/>
      <c r="AH3853" s="93"/>
      <c r="AI3853" s="93"/>
      <c r="AJ3853" s="93"/>
    </row>
    <row r="3854" spans="30:36" ht="18">
      <c r="AD3854" s="93"/>
      <c r="AE3854" s="214"/>
      <c r="AF3854" s="93"/>
      <c r="AG3854" s="93"/>
      <c r="AH3854" s="93"/>
      <c r="AI3854" s="93"/>
      <c r="AJ3854" s="93"/>
    </row>
    <row r="3855" spans="30:36" ht="18">
      <c r="AD3855" s="93"/>
      <c r="AE3855" s="214"/>
      <c r="AF3855" s="93"/>
      <c r="AG3855" s="93"/>
      <c r="AH3855" s="93"/>
      <c r="AI3855" s="93"/>
      <c r="AJ3855" s="93"/>
    </row>
    <row r="3856" spans="30:36" ht="18">
      <c r="AD3856" s="93"/>
      <c r="AE3856" s="214"/>
      <c r="AF3856" s="93"/>
      <c r="AG3856" s="93"/>
      <c r="AH3856" s="93"/>
      <c r="AI3856" s="93"/>
      <c r="AJ3856" s="93"/>
    </row>
    <row r="3857" spans="30:36" ht="18">
      <c r="AD3857" s="93"/>
      <c r="AE3857" s="214"/>
      <c r="AF3857" s="93"/>
      <c r="AG3857" s="93"/>
      <c r="AH3857" s="93"/>
      <c r="AI3857" s="93"/>
      <c r="AJ3857" s="93"/>
    </row>
    <row r="3858" spans="30:36" ht="18">
      <c r="AD3858" s="93"/>
      <c r="AE3858" s="214"/>
      <c r="AF3858" s="93"/>
      <c r="AG3858" s="93"/>
      <c r="AH3858" s="93"/>
      <c r="AI3858" s="93"/>
      <c r="AJ3858" s="93"/>
    </row>
    <row r="3859" spans="30:36" ht="18">
      <c r="AD3859" s="93"/>
      <c r="AE3859" s="214"/>
      <c r="AF3859" s="93"/>
      <c r="AG3859" s="93"/>
      <c r="AH3859" s="93"/>
      <c r="AI3859" s="93"/>
      <c r="AJ3859" s="93"/>
    </row>
    <row r="3860" spans="30:36" ht="18">
      <c r="AD3860" s="93"/>
      <c r="AE3860" s="214"/>
      <c r="AF3860" s="93"/>
      <c r="AG3860" s="93"/>
      <c r="AH3860" s="93"/>
      <c r="AI3860" s="93"/>
      <c r="AJ3860" s="93"/>
    </row>
    <row r="3861" spans="30:36" ht="18">
      <c r="AD3861" s="93"/>
      <c r="AE3861" s="214"/>
      <c r="AF3861" s="93"/>
      <c r="AG3861" s="93"/>
      <c r="AH3861" s="93"/>
      <c r="AI3861" s="93"/>
      <c r="AJ3861" s="93"/>
    </row>
    <row r="3862" spans="30:36" ht="18">
      <c r="AD3862" s="93"/>
      <c r="AE3862" s="214"/>
      <c r="AF3862" s="93"/>
      <c r="AG3862" s="93"/>
      <c r="AH3862" s="93"/>
      <c r="AI3862" s="93"/>
      <c r="AJ3862" s="93"/>
    </row>
    <row r="3863" spans="30:36" ht="18">
      <c r="AD3863" s="93"/>
      <c r="AE3863" s="214"/>
      <c r="AF3863" s="93"/>
      <c r="AG3863" s="93"/>
      <c r="AH3863" s="93"/>
      <c r="AI3863" s="93"/>
      <c r="AJ3863" s="93"/>
    </row>
    <row r="3864" spans="30:36" ht="18">
      <c r="AD3864" s="93"/>
      <c r="AE3864" s="214"/>
      <c r="AF3864" s="93"/>
      <c r="AG3864" s="93"/>
      <c r="AH3864" s="93"/>
      <c r="AI3864" s="93"/>
      <c r="AJ3864" s="93"/>
    </row>
    <row r="3865" spans="30:36" ht="18">
      <c r="AD3865" s="93"/>
      <c r="AE3865" s="214"/>
      <c r="AF3865" s="93"/>
      <c r="AG3865" s="93"/>
      <c r="AH3865" s="93"/>
      <c r="AI3865" s="93"/>
      <c r="AJ3865" s="93"/>
    </row>
    <row r="3866" spans="30:36" ht="18">
      <c r="AD3866" s="93"/>
      <c r="AE3866" s="214"/>
      <c r="AF3866" s="93"/>
      <c r="AG3866" s="93"/>
      <c r="AH3866" s="93"/>
      <c r="AI3866" s="93"/>
      <c r="AJ3866" s="93"/>
    </row>
    <row r="3867" spans="30:36" ht="18">
      <c r="AD3867" s="93"/>
      <c r="AE3867" s="214"/>
      <c r="AF3867" s="93"/>
      <c r="AG3867" s="93"/>
      <c r="AH3867" s="93"/>
      <c r="AI3867" s="93"/>
      <c r="AJ3867" s="93"/>
    </row>
    <row r="3868" spans="30:36" ht="18">
      <c r="AD3868" s="93"/>
      <c r="AE3868" s="214"/>
      <c r="AF3868" s="93"/>
      <c r="AG3868" s="93"/>
      <c r="AH3868" s="93"/>
      <c r="AI3868" s="93"/>
      <c r="AJ3868" s="93"/>
    </row>
    <row r="3869" spans="30:36" ht="18">
      <c r="AD3869" s="93"/>
      <c r="AE3869" s="215"/>
      <c r="AF3869" s="93"/>
      <c r="AG3869" s="93"/>
      <c r="AH3869" s="93"/>
      <c r="AI3869" s="93"/>
      <c r="AJ3869" s="93"/>
    </row>
    <row r="3870" spans="30:36" ht="18">
      <c r="AD3870" s="93"/>
      <c r="AE3870" s="215"/>
      <c r="AF3870" s="93"/>
      <c r="AG3870" s="93"/>
      <c r="AH3870" s="93"/>
      <c r="AI3870" s="93"/>
      <c r="AJ3870" s="93"/>
    </row>
    <row r="3871" spans="30:36" ht="18">
      <c r="AD3871" s="93"/>
      <c r="AE3871" s="214"/>
      <c r="AF3871" s="93"/>
      <c r="AG3871" s="93"/>
      <c r="AH3871" s="93"/>
      <c r="AI3871" s="93"/>
      <c r="AJ3871" s="93"/>
    </row>
    <row r="3872" spans="30:36" ht="18">
      <c r="AD3872" s="93"/>
      <c r="AE3872" s="214"/>
      <c r="AF3872" s="93"/>
      <c r="AG3872" s="93"/>
      <c r="AH3872" s="93"/>
      <c r="AI3872" s="93"/>
      <c r="AJ3872" s="93"/>
    </row>
    <row r="3873" spans="30:36" ht="18">
      <c r="AD3873" s="93"/>
      <c r="AE3873" s="214"/>
      <c r="AF3873" s="93"/>
      <c r="AG3873" s="93"/>
      <c r="AH3873" s="93"/>
      <c r="AI3873" s="93"/>
      <c r="AJ3873" s="93"/>
    </row>
    <row r="3874" spans="30:36" ht="18">
      <c r="AD3874" s="93"/>
      <c r="AE3874" s="214"/>
      <c r="AF3874" s="93"/>
      <c r="AG3874" s="93"/>
      <c r="AH3874" s="93"/>
      <c r="AI3874" s="93"/>
      <c r="AJ3874" s="93"/>
    </row>
    <row r="3875" spans="30:36" ht="18">
      <c r="AD3875" s="93"/>
      <c r="AE3875" s="214"/>
      <c r="AF3875" s="93"/>
      <c r="AG3875" s="93"/>
      <c r="AH3875" s="93"/>
      <c r="AI3875" s="93"/>
      <c r="AJ3875" s="93"/>
    </row>
    <row r="3876" spans="30:36" ht="18">
      <c r="AD3876" s="93"/>
      <c r="AE3876" s="214"/>
      <c r="AF3876" s="93"/>
      <c r="AG3876" s="93"/>
      <c r="AH3876" s="93"/>
      <c r="AI3876" s="93"/>
      <c r="AJ3876" s="93"/>
    </row>
    <row r="3877" spans="30:36" ht="18">
      <c r="AD3877" s="93"/>
      <c r="AE3877" s="214"/>
      <c r="AF3877" s="93"/>
      <c r="AG3877" s="93"/>
      <c r="AH3877" s="93"/>
      <c r="AI3877" s="93"/>
      <c r="AJ3877" s="93"/>
    </row>
    <row r="3878" spans="30:36" ht="18">
      <c r="AD3878" s="93"/>
      <c r="AE3878" s="214"/>
      <c r="AF3878" s="93"/>
      <c r="AG3878" s="93"/>
      <c r="AH3878" s="93"/>
      <c r="AI3878" s="93"/>
      <c r="AJ3878" s="93"/>
    </row>
    <row r="3879" spans="30:36" ht="18">
      <c r="AD3879" s="93"/>
      <c r="AE3879" s="214"/>
      <c r="AF3879" s="93"/>
      <c r="AG3879" s="93"/>
      <c r="AH3879" s="93"/>
      <c r="AI3879" s="93"/>
      <c r="AJ3879" s="93"/>
    </row>
    <row r="3880" spans="30:36" ht="18">
      <c r="AD3880" s="93"/>
      <c r="AE3880" s="214"/>
      <c r="AF3880" s="93"/>
      <c r="AG3880" s="93"/>
      <c r="AH3880" s="93"/>
      <c r="AI3880" s="93"/>
      <c r="AJ3880" s="93"/>
    </row>
    <row r="3881" spans="30:36" ht="18">
      <c r="AD3881" s="93"/>
      <c r="AE3881" s="215"/>
      <c r="AF3881" s="93"/>
      <c r="AG3881" s="93"/>
      <c r="AH3881" s="93"/>
      <c r="AI3881" s="93"/>
      <c r="AJ3881" s="93"/>
    </row>
    <row r="3882" spans="30:36" ht="18">
      <c r="AD3882" s="93"/>
      <c r="AE3882" s="214"/>
      <c r="AF3882" s="93"/>
      <c r="AG3882" s="93"/>
      <c r="AH3882" s="93"/>
      <c r="AI3882" s="93"/>
      <c r="AJ3882" s="93"/>
    </row>
    <row r="3883" spans="30:36" ht="18">
      <c r="AD3883" s="93"/>
      <c r="AE3883" s="214"/>
      <c r="AF3883" s="93"/>
      <c r="AG3883" s="93"/>
      <c r="AH3883" s="93"/>
      <c r="AI3883" s="93"/>
      <c r="AJ3883" s="93"/>
    </row>
    <row r="3884" spans="30:36" ht="18">
      <c r="AD3884" s="93"/>
      <c r="AE3884" s="214"/>
      <c r="AF3884" s="93"/>
      <c r="AG3884" s="93"/>
      <c r="AH3884" s="93"/>
      <c r="AI3884" s="93"/>
      <c r="AJ3884" s="93"/>
    </row>
    <row r="3885" spans="30:36" ht="18">
      <c r="AD3885" s="93"/>
      <c r="AE3885" s="214"/>
      <c r="AF3885" s="93"/>
      <c r="AG3885" s="93"/>
      <c r="AH3885" s="93"/>
      <c r="AI3885" s="93"/>
      <c r="AJ3885" s="93"/>
    </row>
    <row r="3886" spans="30:36" ht="18">
      <c r="AD3886" s="93"/>
      <c r="AE3886" s="214"/>
      <c r="AF3886" s="93"/>
      <c r="AG3886" s="93"/>
      <c r="AH3886" s="93"/>
      <c r="AI3886" s="93"/>
      <c r="AJ3886" s="93"/>
    </row>
    <row r="3887" spans="30:36" ht="18">
      <c r="AD3887" s="93"/>
      <c r="AE3887" s="214"/>
      <c r="AF3887" s="93"/>
      <c r="AG3887" s="93"/>
      <c r="AH3887" s="93"/>
      <c r="AI3887" s="93"/>
      <c r="AJ3887" s="93"/>
    </row>
    <row r="3888" spans="30:36" ht="18">
      <c r="AD3888" s="93"/>
      <c r="AE3888" s="214"/>
      <c r="AF3888" s="93"/>
      <c r="AG3888" s="93"/>
      <c r="AH3888" s="93"/>
      <c r="AI3888" s="93"/>
      <c r="AJ3888" s="93"/>
    </row>
    <row r="3889" spans="30:36" ht="18">
      <c r="AD3889" s="93"/>
      <c r="AE3889" s="215"/>
      <c r="AF3889" s="93"/>
      <c r="AG3889" s="93"/>
      <c r="AH3889" s="93"/>
      <c r="AI3889" s="93"/>
      <c r="AJ3889" s="93"/>
    </row>
    <row r="3890" spans="30:36" ht="18">
      <c r="AD3890" s="93"/>
      <c r="AE3890" s="214"/>
      <c r="AF3890" s="93"/>
      <c r="AG3890" s="93"/>
      <c r="AH3890" s="93"/>
      <c r="AI3890" s="93"/>
      <c r="AJ3890" s="93"/>
    </row>
    <row r="3891" spans="30:36" ht="18">
      <c r="AD3891" s="93"/>
      <c r="AE3891" s="214"/>
      <c r="AF3891" s="93"/>
      <c r="AG3891" s="93"/>
      <c r="AH3891" s="93"/>
      <c r="AI3891" s="93"/>
      <c r="AJ3891" s="93"/>
    </row>
    <row r="3892" spans="30:36" ht="18">
      <c r="AD3892" s="93"/>
      <c r="AE3892" s="214"/>
      <c r="AF3892" s="93"/>
      <c r="AG3892" s="93"/>
      <c r="AH3892" s="93"/>
      <c r="AI3892" s="93"/>
      <c r="AJ3892" s="93"/>
    </row>
    <row r="3893" spans="30:36" ht="18">
      <c r="AD3893" s="93"/>
      <c r="AE3893" s="214"/>
      <c r="AF3893" s="93"/>
      <c r="AG3893" s="93"/>
      <c r="AH3893" s="93"/>
      <c r="AI3893" s="93"/>
      <c r="AJ3893" s="93"/>
    </row>
    <row r="3894" spans="30:36" ht="18">
      <c r="AD3894" s="93"/>
      <c r="AE3894" s="215"/>
      <c r="AF3894" s="93"/>
      <c r="AG3894" s="93"/>
      <c r="AH3894" s="93"/>
      <c r="AI3894" s="93"/>
      <c r="AJ3894" s="93"/>
    </row>
    <row r="3895" spans="30:36" ht="18">
      <c r="AD3895" s="93"/>
      <c r="AE3895" s="215"/>
      <c r="AF3895" s="93"/>
      <c r="AG3895" s="93"/>
      <c r="AH3895" s="93"/>
      <c r="AI3895" s="93"/>
      <c r="AJ3895" s="93"/>
    </row>
    <row r="3896" spans="30:36" ht="18">
      <c r="AD3896" s="93"/>
      <c r="AE3896" s="214"/>
      <c r="AF3896" s="93"/>
      <c r="AG3896" s="93"/>
      <c r="AH3896" s="93"/>
      <c r="AI3896" s="93"/>
      <c r="AJ3896" s="93"/>
    </row>
    <row r="3897" spans="30:36" ht="18">
      <c r="AD3897" s="93"/>
      <c r="AE3897" s="214"/>
      <c r="AF3897" s="93"/>
      <c r="AG3897" s="93"/>
      <c r="AH3897" s="93"/>
      <c r="AI3897" s="93"/>
      <c r="AJ3897" s="93"/>
    </row>
    <row r="3898" spans="30:36" ht="18">
      <c r="AD3898" s="93"/>
      <c r="AE3898" s="214"/>
      <c r="AF3898" s="93"/>
      <c r="AG3898" s="93"/>
      <c r="AH3898" s="93"/>
      <c r="AI3898" s="93"/>
      <c r="AJ3898" s="93"/>
    </row>
    <row r="3899" spans="30:36" ht="18">
      <c r="AD3899" s="93"/>
      <c r="AE3899" s="214"/>
      <c r="AF3899" s="93"/>
      <c r="AG3899" s="93"/>
      <c r="AH3899" s="93"/>
      <c r="AI3899" s="93"/>
      <c r="AJ3899" s="93"/>
    </row>
    <row r="3900" spans="30:36" ht="18">
      <c r="AD3900" s="93"/>
      <c r="AE3900" s="214"/>
      <c r="AF3900" s="93"/>
      <c r="AG3900" s="93"/>
      <c r="AH3900" s="93"/>
      <c r="AI3900" s="93"/>
      <c r="AJ3900" s="93"/>
    </row>
    <row r="3901" spans="30:36" ht="18">
      <c r="AD3901" s="93"/>
      <c r="AE3901" s="214"/>
      <c r="AF3901" s="93"/>
      <c r="AG3901" s="93"/>
      <c r="AH3901" s="93"/>
      <c r="AI3901" s="93"/>
      <c r="AJ3901" s="93"/>
    </row>
    <row r="3902" spans="30:36" ht="18">
      <c r="AD3902" s="93"/>
      <c r="AE3902" s="214"/>
      <c r="AF3902" s="93"/>
      <c r="AG3902" s="93"/>
      <c r="AH3902" s="93"/>
      <c r="AI3902" s="93"/>
      <c r="AJ3902" s="93"/>
    </row>
    <row r="3903" spans="30:36" ht="18">
      <c r="AD3903" s="93"/>
      <c r="AE3903" s="214"/>
      <c r="AF3903" s="93"/>
      <c r="AG3903" s="93"/>
      <c r="AH3903" s="93"/>
      <c r="AI3903" s="93"/>
      <c r="AJ3903" s="93"/>
    </row>
    <row r="3904" spans="30:36" ht="18">
      <c r="AD3904" s="93"/>
      <c r="AE3904" s="214"/>
      <c r="AF3904" s="93"/>
      <c r="AG3904" s="93"/>
      <c r="AH3904" s="93"/>
      <c r="AI3904" s="93"/>
      <c r="AJ3904" s="93"/>
    </row>
    <row r="3905" spans="30:36" ht="18">
      <c r="AD3905" s="93"/>
      <c r="AE3905" s="214"/>
      <c r="AF3905" s="93"/>
      <c r="AG3905" s="93"/>
      <c r="AH3905" s="93"/>
      <c r="AI3905" s="93"/>
      <c r="AJ3905" s="93"/>
    </row>
    <row r="3906" spans="30:36" ht="18">
      <c r="AD3906" s="93"/>
      <c r="AE3906" s="214"/>
      <c r="AF3906" s="93"/>
      <c r="AG3906" s="93"/>
      <c r="AH3906" s="93"/>
      <c r="AI3906" s="93"/>
      <c r="AJ3906" s="93"/>
    </row>
    <row r="3907" spans="30:36" ht="18">
      <c r="AD3907" s="93"/>
      <c r="AE3907" s="215"/>
      <c r="AF3907" s="93"/>
      <c r="AG3907" s="93"/>
      <c r="AH3907" s="93"/>
      <c r="AI3907" s="93"/>
      <c r="AJ3907" s="93"/>
    </row>
    <row r="3908" spans="30:36" ht="18">
      <c r="AD3908" s="93"/>
      <c r="AE3908" s="215"/>
      <c r="AF3908" s="93"/>
      <c r="AG3908" s="93"/>
      <c r="AH3908" s="93"/>
      <c r="AI3908" s="93"/>
      <c r="AJ3908" s="93"/>
    </row>
    <row r="3909" spans="30:36" ht="18">
      <c r="AD3909" s="93"/>
      <c r="AE3909" s="214"/>
      <c r="AF3909" s="93"/>
      <c r="AG3909" s="93"/>
      <c r="AH3909" s="93"/>
      <c r="AI3909" s="93"/>
      <c r="AJ3909" s="93"/>
    </row>
    <row r="3910" spans="30:36" ht="18">
      <c r="AD3910" s="93"/>
      <c r="AE3910" s="214"/>
      <c r="AF3910" s="93"/>
      <c r="AG3910" s="93"/>
      <c r="AH3910" s="93"/>
      <c r="AI3910" s="93"/>
      <c r="AJ3910" s="93"/>
    </row>
    <row r="3911" spans="30:36" ht="18">
      <c r="AD3911" s="93"/>
      <c r="AE3911" s="214"/>
      <c r="AF3911" s="93"/>
      <c r="AG3911" s="93"/>
      <c r="AH3911" s="93"/>
      <c r="AI3911" s="93"/>
      <c r="AJ3911" s="93"/>
    </row>
    <row r="3912" spans="30:36" ht="18">
      <c r="AD3912" s="93"/>
      <c r="AE3912" s="214"/>
      <c r="AF3912" s="93"/>
      <c r="AG3912" s="93"/>
      <c r="AH3912" s="93"/>
      <c r="AI3912" s="93"/>
      <c r="AJ3912" s="93"/>
    </row>
    <row r="3913" spans="30:36" ht="18">
      <c r="AD3913" s="93"/>
      <c r="AE3913" s="214"/>
      <c r="AF3913" s="93"/>
      <c r="AG3913" s="93"/>
      <c r="AH3913" s="93"/>
      <c r="AI3913" s="93"/>
      <c r="AJ3913" s="93"/>
    </row>
    <row r="3914" spans="30:36" ht="18">
      <c r="AD3914" s="93"/>
      <c r="AE3914" s="214"/>
      <c r="AF3914" s="93"/>
      <c r="AG3914" s="93"/>
      <c r="AH3914" s="93"/>
      <c r="AI3914" s="93"/>
      <c r="AJ3914" s="93"/>
    </row>
    <row r="3915" spans="30:36" ht="18">
      <c r="AD3915" s="93"/>
      <c r="AE3915" s="214"/>
      <c r="AF3915" s="93"/>
      <c r="AG3915" s="93"/>
      <c r="AH3915" s="93"/>
      <c r="AI3915" s="93"/>
      <c r="AJ3915" s="93"/>
    </row>
    <row r="3916" spans="30:36" ht="18">
      <c r="AD3916" s="93"/>
      <c r="AE3916" s="215"/>
      <c r="AF3916" s="93"/>
      <c r="AG3916" s="93"/>
      <c r="AH3916" s="93"/>
      <c r="AI3916" s="93"/>
      <c r="AJ3916" s="93"/>
    </row>
    <row r="3917" spans="30:36" ht="18">
      <c r="AD3917" s="93"/>
      <c r="AE3917" s="214"/>
      <c r="AF3917" s="93"/>
      <c r="AG3917" s="93"/>
      <c r="AH3917" s="93"/>
      <c r="AI3917" s="93"/>
      <c r="AJ3917" s="93"/>
    </row>
    <row r="3918" spans="30:36" ht="18">
      <c r="AD3918" s="93"/>
      <c r="AE3918" s="214"/>
      <c r="AF3918" s="93"/>
      <c r="AG3918" s="93"/>
      <c r="AH3918" s="93"/>
      <c r="AI3918" s="93"/>
      <c r="AJ3918" s="93"/>
    </row>
    <row r="3919" spans="30:36" ht="18">
      <c r="AD3919" s="93"/>
      <c r="AE3919" s="215"/>
      <c r="AF3919" s="93"/>
      <c r="AG3919" s="93"/>
      <c r="AH3919" s="93"/>
      <c r="AI3919" s="93"/>
      <c r="AJ3919" s="93"/>
    </row>
    <row r="3920" spans="30:36" ht="18">
      <c r="AD3920" s="93"/>
      <c r="AE3920" s="214"/>
      <c r="AF3920" s="93"/>
      <c r="AG3920" s="93"/>
      <c r="AH3920" s="93"/>
      <c r="AI3920" s="93"/>
      <c r="AJ3920" s="93"/>
    </row>
    <row r="3921" spans="30:36" ht="18">
      <c r="AD3921" s="93"/>
      <c r="AE3921" s="214"/>
      <c r="AF3921" s="93"/>
      <c r="AG3921" s="93"/>
      <c r="AH3921" s="93"/>
      <c r="AI3921" s="93"/>
      <c r="AJ3921" s="93"/>
    </row>
    <row r="3922" spans="30:36" ht="18">
      <c r="AD3922" s="93"/>
      <c r="AE3922" s="215"/>
      <c r="AF3922" s="93"/>
      <c r="AG3922" s="93"/>
      <c r="AH3922" s="93"/>
      <c r="AI3922" s="93"/>
      <c r="AJ3922" s="93"/>
    </row>
    <row r="3923" spans="30:36" ht="18">
      <c r="AD3923" s="93"/>
      <c r="AE3923" s="214"/>
      <c r="AF3923" s="93"/>
      <c r="AG3923" s="93"/>
      <c r="AH3923" s="93"/>
      <c r="AI3923" s="93"/>
      <c r="AJ3923" s="93"/>
    </row>
    <row r="3924" spans="30:36" ht="18">
      <c r="AD3924" s="93"/>
      <c r="AE3924" s="214"/>
      <c r="AF3924" s="93"/>
      <c r="AG3924" s="93"/>
      <c r="AH3924" s="93"/>
      <c r="AI3924" s="93"/>
      <c r="AJ3924" s="93"/>
    </row>
    <row r="3925" spans="30:36" ht="18">
      <c r="AD3925" s="93"/>
      <c r="AE3925" s="214"/>
      <c r="AF3925" s="93"/>
      <c r="AG3925" s="93"/>
      <c r="AH3925" s="93"/>
      <c r="AI3925" s="93"/>
      <c r="AJ3925" s="93"/>
    </row>
    <row r="3926" spans="30:36" ht="18">
      <c r="AD3926" s="93"/>
      <c r="AE3926" s="214"/>
      <c r="AF3926" s="93"/>
      <c r="AG3926" s="93"/>
      <c r="AH3926" s="93"/>
      <c r="AI3926" s="93"/>
      <c r="AJ3926" s="93"/>
    </row>
    <row r="3927" spans="30:36" ht="18">
      <c r="AD3927" s="93"/>
      <c r="AE3927" s="215"/>
      <c r="AF3927" s="93"/>
      <c r="AG3927" s="93"/>
      <c r="AH3927" s="93"/>
      <c r="AI3927" s="93"/>
      <c r="AJ3927" s="93"/>
    </row>
    <row r="3928" spans="30:36" ht="18">
      <c r="AD3928" s="93"/>
      <c r="AE3928" s="215"/>
      <c r="AF3928" s="93"/>
      <c r="AG3928" s="93"/>
      <c r="AH3928" s="93"/>
      <c r="AI3928" s="93"/>
      <c r="AJ3928" s="93"/>
    </row>
    <row r="3929" spans="30:36" ht="18">
      <c r="AD3929" s="93"/>
      <c r="AE3929" s="215"/>
      <c r="AF3929" s="93"/>
      <c r="AG3929" s="93"/>
      <c r="AH3929" s="93"/>
      <c r="AI3929" s="93"/>
      <c r="AJ3929" s="93"/>
    </row>
    <row r="3930" spans="30:36" ht="18">
      <c r="AD3930" s="93"/>
      <c r="AE3930" s="214"/>
      <c r="AF3930" s="93"/>
      <c r="AG3930" s="93"/>
      <c r="AH3930" s="93"/>
      <c r="AI3930" s="93"/>
      <c r="AJ3930" s="93"/>
    </row>
    <row r="3931" spans="30:36" ht="18">
      <c r="AD3931" s="93"/>
      <c r="AE3931" s="214"/>
      <c r="AF3931" s="93"/>
      <c r="AG3931" s="93"/>
      <c r="AH3931" s="93"/>
      <c r="AI3931" s="93"/>
      <c r="AJ3931" s="93"/>
    </row>
    <row r="3932" spans="30:36" ht="18">
      <c r="AD3932" s="93"/>
      <c r="AE3932" s="215"/>
      <c r="AF3932" s="93"/>
      <c r="AG3932" s="93"/>
      <c r="AH3932" s="93"/>
      <c r="AI3932" s="93"/>
      <c r="AJ3932" s="93"/>
    </row>
    <row r="3933" spans="30:36" ht="18">
      <c r="AD3933" s="93"/>
      <c r="AE3933" s="214"/>
      <c r="AF3933" s="93"/>
      <c r="AG3933" s="93"/>
      <c r="AH3933" s="93"/>
      <c r="AI3933" s="93"/>
      <c r="AJ3933" s="93"/>
    </row>
    <row r="3934" spans="30:36" ht="18">
      <c r="AD3934" s="93"/>
      <c r="AE3934" s="214"/>
      <c r="AF3934" s="93"/>
      <c r="AG3934" s="93"/>
      <c r="AH3934" s="93"/>
      <c r="AI3934" s="93"/>
      <c r="AJ3934" s="93"/>
    </row>
    <row r="3935" spans="30:36" ht="18">
      <c r="AD3935" s="93"/>
      <c r="AE3935" s="214"/>
      <c r="AF3935" s="93"/>
      <c r="AG3935" s="93"/>
      <c r="AH3935" s="93"/>
      <c r="AI3935" s="93"/>
      <c r="AJ3935" s="93"/>
    </row>
    <row r="3936" spans="30:36" ht="18">
      <c r="AD3936" s="93"/>
      <c r="AE3936" s="215"/>
      <c r="AF3936" s="93"/>
      <c r="AG3936" s="93"/>
      <c r="AH3936" s="93"/>
      <c r="AI3936" s="93"/>
      <c r="AJ3936" s="93"/>
    </row>
    <row r="3937" spans="30:36" ht="18">
      <c r="AD3937" s="93"/>
      <c r="AE3937" s="215"/>
      <c r="AF3937" s="93"/>
      <c r="AG3937" s="93"/>
      <c r="AH3937" s="93"/>
      <c r="AI3937" s="93"/>
      <c r="AJ3937" s="93"/>
    </row>
    <row r="3938" spans="30:36" ht="18">
      <c r="AD3938" s="93"/>
      <c r="AE3938" s="215"/>
      <c r="AF3938" s="93"/>
      <c r="AG3938" s="93"/>
      <c r="AH3938" s="93"/>
      <c r="AI3938" s="93"/>
      <c r="AJ3938" s="93"/>
    </row>
    <row r="3939" spans="30:36" ht="18">
      <c r="AD3939" s="93"/>
      <c r="AE3939" s="214"/>
      <c r="AF3939" s="93"/>
      <c r="AG3939" s="93"/>
      <c r="AH3939" s="93"/>
      <c r="AI3939" s="93"/>
      <c r="AJ3939" s="93"/>
    </row>
    <row r="3940" spans="30:36" ht="18">
      <c r="AD3940" s="93"/>
      <c r="AE3940" s="214"/>
      <c r="AF3940" s="93"/>
      <c r="AG3940" s="93"/>
      <c r="AH3940" s="93"/>
      <c r="AI3940" s="93"/>
      <c r="AJ3940" s="93"/>
    </row>
    <row r="3941" spans="30:36" ht="18">
      <c r="AD3941" s="93"/>
      <c r="AE3941" s="215"/>
      <c r="AF3941" s="93"/>
      <c r="AG3941" s="93"/>
      <c r="AH3941" s="93"/>
      <c r="AI3941" s="93"/>
      <c r="AJ3941" s="93"/>
    </row>
    <row r="3942" spans="30:36" ht="18">
      <c r="AD3942" s="93"/>
      <c r="AE3942" s="214"/>
      <c r="AF3942" s="93"/>
      <c r="AG3942" s="93"/>
      <c r="AH3942" s="93"/>
      <c r="AI3942" s="93"/>
      <c r="AJ3942" s="93"/>
    </row>
    <row r="3943" spans="30:36" ht="18">
      <c r="AD3943" s="93"/>
      <c r="AE3943" s="214"/>
      <c r="AF3943" s="93"/>
      <c r="AG3943" s="93"/>
      <c r="AH3943" s="93"/>
      <c r="AI3943" s="93"/>
      <c r="AJ3943" s="93"/>
    </row>
    <row r="3944" spans="30:36" ht="18">
      <c r="AD3944" s="93"/>
      <c r="AE3944" s="215"/>
      <c r="AF3944" s="93"/>
      <c r="AG3944" s="93"/>
      <c r="AH3944" s="93"/>
      <c r="AI3944" s="93"/>
      <c r="AJ3944" s="93"/>
    </row>
    <row r="3945" spans="30:36" ht="18">
      <c r="AD3945" s="93"/>
      <c r="AE3945" s="214"/>
      <c r="AF3945" s="93"/>
      <c r="AG3945" s="93"/>
      <c r="AH3945" s="93"/>
      <c r="AI3945" s="93"/>
      <c r="AJ3945" s="93"/>
    </row>
    <row r="3946" spans="30:36" ht="18">
      <c r="AD3946" s="93"/>
      <c r="AE3946" s="214"/>
      <c r="AF3946" s="93"/>
      <c r="AG3946" s="93"/>
      <c r="AH3946" s="93"/>
      <c r="AI3946" s="93"/>
      <c r="AJ3946" s="93"/>
    </row>
    <row r="3947" spans="30:36" ht="18">
      <c r="AD3947" s="93"/>
      <c r="AE3947" s="215"/>
      <c r="AF3947" s="93"/>
      <c r="AG3947" s="93"/>
      <c r="AH3947" s="93"/>
      <c r="AI3947" s="93"/>
      <c r="AJ3947" s="93"/>
    </row>
    <row r="3948" spans="30:36" ht="18">
      <c r="AD3948" s="93"/>
      <c r="AE3948" s="214"/>
      <c r="AF3948" s="93"/>
      <c r="AG3948" s="93"/>
      <c r="AH3948" s="93"/>
      <c r="AI3948" s="93"/>
      <c r="AJ3948" s="93"/>
    </row>
    <row r="3949" spans="30:36" ht="18">
      <c r="AD3949" s="93"/>
      <c r="AE3949" s="214"/>
      <c r="AF3949" s="93"/>
      <c r="AG3949" s="93"/>
      <c r="AH3949" s="93"/>
      <c r="AI3949" s="93"/>
      <c r="AJ3949" s="93"/>
    </row>
    <row r="3950" spans="30:36" ht="18">
      <c r="AD3950" s="93"/>
      <c r="AE3950" s="215"/>
      <c r="AF3950" s="93"/>
      <c r="AG3950" s="93"/>
      <c r="AH3950" s="93"/>
      <c r="AI3950" s="93"/>
      <c r="AJ3950" s="93"/>
    </row>
    <row r="3951" spans="30:36" ht="18">
      <c r="AD3951" s="93"/>
      <c r="AE3951" s="215"/>
      <c r="AF3951" s="93"/>
      <c r="AG3951" s="93"/>
      <c r="AH3951" s="93"/>
      <c r="AI3951" s="93"/>
      <c r="AJ3951" s="93"/>
    </row>
    <row r="3952" spans="30:36" ht="18">
      <c r="AD3952" s="93"/>
      <c r="AE3952" s="214"/>
      <c r="AF3952" s="93"/>
      <c r="AG3952" s="93"/>
      <c r="AH3952" s="93"/>
      <c r="AI3952" s="93"/>
      <c r="AJ3952" s="93"/>
    </row>
    <row r="3953" spans="30:36" ht="18">
      <c r="AD3953" s="93"/>
      <c r="AE3953" s="214"/>
      <c r="AF3953" s="93"/>
      <c r="AG3953" s="93"/>
      <c r="AH3953" s="93"/>
      <c r="AI3953" s="93"/>
      <c r="AJ3953" s="93"/>
    </row>
    <row r="3954" spans="30:36" ht="18">
      <c r="AD3954" s="93"/>
      <c r="AE3954" s="215"/>
      <c r="AF3954" s="93"/>
      <c r="AG3954" s="93"/>
      <c r="AH3954" s="93"/>
      <c r="AI3954" s="93"/>
      <c r="AJ3954" s="93"/>
    </row>
    <row r="3955" spans="30:36" ht="18">
      <c r="AD3955" s="93"/>
      <c r="AE3955" s="214"/>
      <c r="AF3955" s="93"/>
      <c r="AG3955" s="93"/>
      <c r="AH3955" s="93"/>
      <c r="AI3955" s="93"/>
      <c r="AJ3955" s="93"/>
    </row>
    <row r="3956" spans="30:36" ht="18">
      <c r="AD3956" s="93"/>
      <c r="AE3956" s="214"/>
      <c r="AF3956" s="93"/>
      <c r="AG3956" s="93"/>
      <c r="AH3956" s="93"/>
      <c r="AI3956" s="93"/>
      <c r="AJ3956" s="93"/>
    </row>
    <row r="3957" spans="30:36" ht="18">
      <c r="AD3957" s="93"/>
      <c r="AE3957" s="214"/>
      <c r="AF3957" s="93"/>
      <c r="AG3957" s="93"/>
      <c r="AH3957" s="93"/>
      <c r="AI3957" s="93"/>
      <c r="AJ3957" s="93"/>
    </row>
    <row r="3958" spans="30:36" ht="18">
      <c r="AD3958" s="93"/>
      <c r="AE3958" s="214"/>
      <c r="AF3958" s="93"/>
      <c r="AG3958" s="93"/>
      <c r="AH3958" s="93"/>
      <c r="AI3958" s="93"/>
      <c r="AJ3958" s="93"/>
    </row>
    <row r="3959" spans="30:36" ht="18">
      <c r="AD3959" s="93"/>
      <c r="AE3959" s="215"/>
      <c r="AF3959" s="93"/>
      <c r="AG3959" s="93"/>
      <c r="AH3959" s="93"/>
      <c r="AI3959" s="93"/>
      <c r="AJ3959" s="93"/>
    </row>
    <row r="3960" spans="30:36" ht="18">
      <c r="AD3960" s="93"/>
      <c r="AE3960" s="215"/>
      <c r="AF3960" s="93"/>
      <c r="AG3960" s="93"/>
      <c r="AH3960" s="93"/>
      <c r="AI3960" s="93"/>
      <c r="AJ3960" s="93"/>
    </row>
    <row r="3961" spans="30:36" ht="18">
      <c r="AD3961" s="93"/>
      <c r="AE3961" s="215"/>
      <c r="AF3961" s="93"/>
      <c r="AG3961" s="93"/>
      <c r="AH3961" s="93"/>
      <c r="AI3961" s="93"/>
      <c r="AJ3961" s="93"/>
    </row>
    <row r="3962" spans="30:36" ht="18">
      <c r="AD3962" s="93"/>
      <c r="AE3962" s="214"/>
      <c r="AF3962" s="93"/>
      <c r="AG3962" s="93"/>
      <c r="AH3962" s="93"/>
      <c r="AI3962" s="93"/>
      <c r="AJ3962" s="93"/>
    </row>
    <row r="3963" spans="30:36" ht="18">
      <c r="AD3963" s="93"/>
      <c r="AE3963" s="214"/>
      <c r="AF3963" s="93"/>
      <c r="AG3963" s="93"/>
      <c r="AH3963" s="93"/>
      <c r="AI3963" s="93"/>
      <c r="AJ3963" s="93"/>
    </row>
    <row r="3964" spans="30:36" ht="18">
      <c r="AD3964" s="93"/>
      <c r="AE3964" s="214"/>
      <c r="AF3964" s="93"/>
      <c r="AG3964" s="93"/>
      <c r="AH3964" s="93"/>
      <c r="AI3964" s="93"/>
      <c r="AJ3964" s="93"/>
    </row>
    <row r="3965" spans="30:36" ht="18">
      <c r="AD3965" s="93"/>
      <c r="AE3965" s="214"/>
      <c r="AF3965" s="93"/>
      <c r="AG3965" s="93"/>
      <c r="AH3965" s="93"/>
      <c r="AI3965" s="93"/>
      <c r="AJ3965" s="93"/>
    </row>
    <row r="3966" spans="30:36" ht="18">
      <c r="AD3966" s="93"/>
      <c r="AE3966" s="215"/>
      <c r="AF3966" s="93"/>
      <c r="AG3966" s="93"/>
      <c r="AH3966" s="93"/>
      <c r="AI3966" s="93"/>
      <c r="AJ3966" s="93"/>
    </row>
    <row r="3967" spans="30:36" ht="18">
      <c r="AD3967" s="93"/>
      <c r="AE3967" s="215"/>
      <c r="AF3967" s="93"/>
      <c r="AG3967" s="93"/>
      <c r="AH3967" s="93"/>
      <c r="AI3967" s="93"/>
      <c r="AJ3967" s="93"/>
    </row>
    <row r="3968" spans="30:36" ht="18">
      <c r="AD3968" s="93"/>
      <c r="AE3968" s="215"/>
      <c r="AF3968" s="93"/>
      <c r="AG3968" s="93"/>
      <c r="AH3968" s="93"/>
      <c r="AI3968" s="93"/>
      <c r="AJ3968" s="93"/>
    </row>
    <row r="3969" spans="30:36" ht="18">
      <c r="AD3969" s="93"/>
      <c r="AE3969" s="214"/>
      <c r="AF3969" s="93"/>
      <c r="AG3969" s="93"/>
      <c r="AH3969" s="93"/>
      <c r="AI3969" s="93"/>
      <c r="AJ3969" s="93"/>
    </row>
    <row r="3970" spans="30:36" ht="18">
      <c r="AD3970" s="93"/>
      <c r="AE3970" s="214"/>
      <c r="AF3970" s="93"/>
      <c r="AG3970" s="93"/>
      <c r="AH3970" s="93"/>
      <c r="AI3970" s="93"/>
      <c r="AJ3970" s="93"/>
    </row>
    <row r="3971" spans="30:36" ht="18">
      <c r="AD3971" s="93"/>
      <c r="AE3971" s="215"/>
      <c r="AF3971" s="93"/>
      <c r="AG3971" s="93"/>
      <c r="AH3971" s="93"/>
      <c r="AI3971" s="93"/>
      <c r="AJ3971" s="93"/>
    </row>
    <row r="3972" spans="30:36" ht="18">
      <c r="AD3972" s="93"/>
      <c r="AE3972" s="214"/>
      <c r="AF3972" s="93"/>
      <c r="AG3972" s="93"/>
      <c r="AH3972" s="93"/>
      <c r="AI3972" s="93"/>
      <c r="AJ3972" s="93"/>
    </row>
    <row r="3973" spans="30:36" ht="18">
      <c r="AD3973" s="93"/>
      <c r="AE3973" s="214"/>
      <c r="AF3973" s="93"/>
      <c r="AG3973" s="93"/>
      <c r="AH3973" s="93"/>
      <c r="AI3973" s="93"/>
      <c r="AJ3973" s="93"/>
    </row>
    <row r="3974" spans="30:36" ht="18">
      <c r="AD3974" s="93"/>
      <c r="AE3974" s="215"/>
      <c r="AF3974" s="93"/>
      <c r="AG3974" s="93"/>
      <c r="AH3974" s="93"/>
      <c r="AI3974" s="93"/>
      <c r="AJ3974" s="93"/>
    </row>
    <row r="3975" spans="30:36" ht="18">
      <c r="AD3975" s="93"/>
      <c r="AE3975" s="214"/>
      <c r="AF3975" s="93"/>
      <c r="AG3975" s="93"/>
      <c r="AH3975" s="93"/>
      <c r="AI3975" s="93"/>
      <c r="AJ3975" s="93"/>
    </row>
    <row r="3976" spans="30:36" ht="18">
      <c r="AD3976" s="93"/>
      <c r="AE3976" s="214"/>
      <c r="AF3976" s="93"/>
      <c r="AG3976" s="93"/>
      <c r="AH3976" s="93"/>
      <c r="AI3976" s="93"/>
      <c r="AJ3976" s="93"/>
    </row>
    <row r="3977" spans="30:36" ht="18">
      <c r="AD3977" s="93"/>
      <c r="AE3977" s="215"/>
      <c r="AF3977" s="93"/>
      <c r="AG3977" s="93"/>
      <c r="AH3977" s="93"/>
      <c r="AI3977" s="93"/>
      <c r="AJ3977" s="93"/>
    </row>
    <row r="3978" spans="30:36" ht="18">
      <c r="AD3978" s="93"/>
      <c r="AE3978" s="214"/>
      <c r="AF3978" s="93"/>
      <c r="AG3978" s="93"/>
      <c r="AH3978" s="93"/>
      <c r="AI3978" s="93"/>
      <c r="AJ3978" s="93"/>
    </row>
    <row r="3979" spans="30:36" ht="18">
      <c r="AD3979" s="93"/>
      <c r="AE3979" s="214"/>
      <c r="AF3979" s="93"/>
      <c r="AG3979" s="93"/>
      <c r="AH3979" s="93"/>
      <c r="AI3979" s="93"/>
      <c r="AJ3979" s="93"/>
    </row>
    <row r="3980" spans="30:36" ht="18">
      <c r="AD3980" s="93"/>
      <c r="AE3980" s="214"/>
      <c r="AF3980" s="93"/>
      <c r="AG3980" s="93"/>
      <c r="AH3980" s="93"/>
      <c r="AI3980" s="93"/>
      <c r="AJ3980" s="93"/>
    </row>
    <row r="3981" spans="30:36" ht="18">
      <c r="AD3981" s="93"/>
      <c r="AE3981" s="214"/>
      <c r="AF3981" s="93"/>
      <c r="AG3981" s="93"/>
      <c r="AH3981" s="93"/>
      <c r="AI3981" s="93"/>
      <c r="AJ3981" s="93"/>
    </row>
    <row r="3982" spans="30:36" ht="18">
      <c r="AD3982" s="93"/>
      <c r="AE3982" s="215"/>
      <c r="AF3982" s="93"/>
      <c r="AG3982" s="93"/>
      <c r="AH3982" s="93"/>
      <c r="AI3982" s="93"/>
      <c r="AJ3982" s="93"/>
    </row>
    <row r="3983" spans="30:36" ht="18">
      <c r="AD3983" s="93"/>
      <c r="AE3983" s="214"/>
      <c r="AF3983" s="93"/>
      <c r="AG3983" s="93"/>
      <c r="AH3983" s="93"/>
      <c r="AI3983" s="93"/>
      <c r="AJ3983" s="93"/>
    </row>
    <row r="3984" spans="30:36" ht="18">
      <c r="AD3984" s="93"/>
      <c r="AE3984" s="214"/>
      <c r="AF3984" s="93"/>
      <c r="AG3984" s="93"/>
      <c r="AH3984" s="93"/>
      <c r="AI3984" s="93"/>
      <c r="AJ3984" s="93"/>
    </row>
    <row r="3985" spans="30:36" ht="18">
      <c r="AD3985" s="93"/>
      <c r="AE3985" s="214"/>
      <c r="AF3985" s="93"/>
      <c r="AG3985" s="93"/>
      <c r="AH3985" s="93"/>
      <c r="AI3985" s="93"/>
      <c r="AJ3985" s="93"/>
    </row>
    <row r="3986" spans="30:36" ht="18">
      <c r="AD3986" s="93"/>
      <c r="AE3986" s="214"/>
      <c r="AF3986" s="93"/>
      <c r="AG3986" s="93"/>
      <c r="AH3986" s="93"/>
      <c r="AI3986" s="93"/>
      <c r="AJ3986" s="93"/>
    </row>
    <row r="3987" spans="30:36" ht="18">
      <c r="AD3987" s="93"/>
      <c r="AE3987" s="214"/>
      <c r="AF3987" s="93"/>
      <c r="AG3987" s="93"/>
      <c r="AH3987" s="93"/>
      <c r="AI3987" s="93"/>
      <c r="AJ3987" s="93"/>
    </row>
    <row r="3988" spans="30:36" ht="18">
      <c r="AD3988" s="93"/>
      <c r="AE3988" s="215"/>
      <c r="AF3988" s="93"/>
      <c r="AG3988" s="93"/>
      <c r="AH3988" s="93"/>
      <c r="AI3988" s="93"/>
      <c r="AJ3988" s="93"/>
    </row>
    <row r="3989" spans="30:36" ht="18">
      <c r="AD3989" s="93"/>
      <c r="AE3989" s="214"/>
      <c r="AF3989" s="93"/>
      <c r="AG3989" s="93"/>
      <c r="AH3989" s="93"/>
      <c r="AI3989" s="93"/>
      <c r="AJ3989" s="93"/>
    </row>
    <row r="3990" spans="30:36" ht="18">
      <c r="AD3990" s="93"/>
      <c r="AE3990" s="214"/>
      <c r="AF3990" s="93"/>
      <c r="AG3990" s="93"/>
      <c r="AH3990" s="93"/>
      <c r="AI3990" s="93"/>
      <c r="AJ3990" s="93"/>
    </row>
    <row r="3991" spans="30:36" ht="18">
      <c r="AD3991" s="93"/>
      <c r="AE3991" s="214"/>
      <c r="AF3991" s="93"/>
      <c r="AG3991" s="93"/>
      <c r="AH3991" s="93"/>
      <c r="AI3991" s="93"/>
      <c r="AJ3991" s="93"/>
    </row>
    <row r="3992" spans="30:36" ht="18">
      <c r="AD3992" s="93"/>
      <c r="AE3992" s="215"/>
      <c r="AF3992" s="93"/>
      <c r="AG3992" s="93"/>
      <c r="AH3992" s="93"/>
      <c r="AI3992" s="93"/>
      <c r="AJ3992" s="93"/>
    </row>
    <row r="3993" spans="30:36" ht="18">
      <c r="AD3993" s="93"/>
      <c r="AE3993" s="214"/>
      <c r="AF3993" s="93"/>
      <c r="AG3993" s="93"/>
      <c r="AH3993" s="93"/>
      <c r="AI3993" s="93"/>
      <c r="AJ3993" s="93"/>
    </row>
    <row r="3994" spans="30:36" ht="18">
      <c r="AD3994" s="93"/>
      <c r="AE3994" s="214"/>
      <c r="AF3994" s="93"/>
      <c r="AG3994" s="93"/>
      <c r="AH3994" s="93"/>
      <c r="AI3994" s="93"/>
      <c r="AJ3994" s="93"/>
    </row>
    <row r="3995" spans="30:36" ht="18">
      <c r="AD3995" s="93"/>
      <c r="AE3995" s="214"/>
      <c r="AF3995" s="93"/>
      <c r="AG3995" s="93"/>
      <c r="AH3995" s="93"/>
      <c r="AI3995" s="93"/>
      <c r="AJ3995" s="93"/>
    </row>
    <row r="3996" spans="30:36" ht="18">
      <c r="AD3996" s="93"/>
      <c r="AE3996" s="214"/>
      <c r="AF3996" s="93"/>
      <c r="AG3996" s="93"/>
      <c r="AH3996" s="93"/>
      <c r="AI3996" s="93"/>
      <c r="AJ3996" s="93"/>
    </row>
    <row r="3997" spans="30:36" ht="18">
      <c r="AD3997" s="93"/>
      <c r="AE3997" s="214"/>
      <c r="AF3997" s="93"/>
      <c r="AG3997" s="93"/>
      <c r="AH3997" s="93"/>
      <c r="AI3997" s="93"/>
      <c r="AJ3997" s="93"/>
    </row>
    <row r="3998" spans="30:36" ht="18">
      <c r="AD3998" s="93"/>
      <c r="AE3998" s="215"/>
      <c r="AF3998" s="93"/>
      <c r="AG3998" s="93"/>
      <c r="AH3998" s="93"/>
      <c r="AI3998" s="93"/>
      <c r="AJ3998" s="93"/>
    </row>
    <row r="3999" spans="30:36" ht="18">
      <c r="AD3999" s="93"/>
      <c r="AE3999" s="214"/>
      <c r="AF3999" s="93"/>
      <c r="AG3999" s="93"/>
      <c r="AH3999" s="93"/>
      <c r="AI3999" s="93"/>
      <c r="AJ3999" s="93"/>
    </row>
    <row r="4000" spans="30:36" ht="18">
      <c r="AD4000" s="93"/>
      <c r="AE4000" s="214"/>
      <c r="AF4000" s="93"/>
      <c r="AG4000" s="93"/>
      <c r="AH4000" s="93"/>
      <c r="AI4000" s="93"/>
      <c r="AJ4000" s="93"/>
    </row>
    <row r="4001" spans="30:36" ht="18">
      <c r="AD4001" s="93"/>
      <c r="AE4001" s="214"/>
      <c r="AF4001" s="93"/>
      <c r="AG4001" s="93"/>
      <c r="AH4001" s="93"/>
      <c r="AI4001" s="93"/>
      <c r="AJ4001" s="93"/>
    </row>
    <row r="4002" spans="30:36" ht="18">
      <c r="AD4002" s="93"/>
      <c r="AE4002" s="214"/>
      <c r="AF4002" s="93"/>
      <c r="AG4002" s="93"/>
      <c r="AH4002" s="93"/>
      <c r="AI4002" s="93"/>
      <c r="AJ4002" s="93"/>
    </row>
    <row r="4003" spans="30:36" ht="18">
      <c r="AD4003" s="93"/>
      <c r="AE4003" s="214"/>
      <c r="AF4003" s="93"/>
      <c r="AG4003" s="93"/>
      <c r="AH4003" s="93"/>
      <c r="AI4003" s="93"/>
      <c r="AJ4003" s="93"/>
    </row>
    <row r="4004" spans="30:36" ht="18">
      <c r="AD4004" s="93"/>
      <c r="AE4004" s="215"/>
      <c r="AF4004" s="93"/>
      <c r="AG4004" s="93"/>
      <c r="AH4004" s="93"/>
      <c r="AI4004" s="93"/>
      <c r="AJ4004" s="93"/>
    </row>
    <row r="4005" spans="30:36" ht="18">
      <c r="AD4005" s="93"/>
      <c r="AE4005" s="214"/>
      <c r="AF4005" s="93"/>
      <c r="AG4005" s="93"/>
      <c r="AH4005" s="93"/>
      <c r="AI4005" s="93"/>
      <c r="AJ4005" s="93"/>
    </row>
    <row r="4006" spans="30:36" ht="18">
      <c r="AD4006" s="93"/>
      <c r="AE4006" s="214"/>
      <c r="AF4006" s="93"/>
      <c r="AG4006" s="93"/>
      <c r="AH4006" s="93"/>
      <c r="AI4006" s="93"/>
      <c r="AJ4006" s="93"/>
    </row>
    <row r="4007" spans="30:36" ht="18">
      <c r="AD4007" s="93"/>
      <c r="AE4007" s="215"/>
      <c r="AF4007" s="93"/>
      <c r="AG4007" s="93"/>
      <c r="AH4007" s="93"/>
      <c r="AI4007" s="93"/>
      <c r="AJ4007" s="93"/>
    </row>
    <row r="4008" spans="30:36" ht="18">
      <c r="AD4008" s="93"/>
      <c r="AE4008" s="214"/>
      <c r="AF4008" s="93"/>
      <c r="AG4008" s="93"/>
      <c r="AH4008" s="93"/>
      <c r="AI4008" s="93"/>
      <c r="AJ4008" s="93"/>
    </row>
    <row r="4009" spans="30:36" ht="18">
      <c r="AD4009" s="93"/>
      <c r="AE4009" s="214"/>
      <c r="AF4009" s="93"/>
      <c r="AG4009" s="93"/>
      <c r="AH4009" s="93"/>
      <c r="AI4009" s="93"/>
      <c r="AJ4009" s="93"/>
    </row>
    <row r="4010" spans="30:36" ht="18">
      <c r="AD4010" s="93"/>
      <c r="AE4010" s="215"/>
      <c r="AF4010" s="93"/>
      <c r="AG4010" s="93"/>
      <c r="AH4010" s="93"/>
      <c r="AI4010" s="93"/>
      <c r="AJ4010" s="93"/>
    </row>
    <row r="4011" spans="30:36" ht="18">
      <c r="AD4011" s="93"/>
      <c r="AE4011" s="214"/>
      <c r="AF4011" s="93"/>
      <c r="AG4011" s="93"/>
      <c r="AH4011" s="93"/>
      <c r="AI4011" s="93"/>
      <c r="AJ4011" s="93"/>
    </row>
    <row r="4012" spans="30:36" ht="18">
      <c r="AD4012" s="93"/>
      <c r="AE4012" s="214"/>
      <c r="AF4012" s="93"/>
      <c r="AG4012" s="93"/>
      <c r="AH4012" s="93"/>
      <c r="AI4012" s="93"/>
      <c r="AJ4012" s="93"/>
    </row>
    <row r="4013" spans="30:36" ht="18">
      <c r="AD4013" s="93"/>
      <c r="AE4013" s="215"/>
      <c r="AF4013" s="93"/>
      <c r="AG4013" s="93"/>
      <c r="AH4013" s="93"/>
      <c r="AI4013" s="93"/>
      <c r="AJ4013" s="93"/>
    </row>
    <row r="4014" spans="30:36" ht="18">
      <c r="AD4014" s="93"/>
      <c r="AE4014" s="214"/>
      <c r="AF4014" s="93"/>
      <c r="AG4014" s="93"/>
      <c r="AH4014" s="93"/>
      <c r="AI4014" s="93"/>
      <c r="AJ4014" s="93"/>
    </row>
    <row r="4015" spans="30:36" ht="18">
      <c r="AD4015" s="93"/>
      <c r="AE4015" s="214"/>
      <c r="AF4015" s="93"/>
      <c r="AG4015" s="93"/>
      <c r="AH4015" s="93"/>
      <c r="AI4015" s="93"/>
      <c r="AJ4015" s="93"/>
    </row>
    <row r="4016" spans="30:36" ht="18">
      <c r="AD4016" s="93"/>
      <c r="AE4016" s="214"/>
      <c r="AF4016" s="93"/>
      <c r="AG4016" s="93"/>
      <c r="AH4016" s="93"/>
      <c r="AI4016" s="93"/>
      <c r="AJ4016" s="93"/>
    </row>
    <row r="4017" spans="30:36" ht="18">
      <c r="AD4017" s="93"/>
      <c r="AE4017" s="214"/>
      <c r="AF4017" s="93"/>
      <c r="AG4017" s="93"/>
      <c r="AH4017" s="93"/>
      <c r="AI4017" s="93"/>
      <c r="AJ4017" s="93"/>
    </row>
    <row r="4018" spans="30:36" ht="18">
      <c r="AD4018" s="93"/>
      <c r="AE4018" s="214"/>
      <c r="AF4018" s="93"/>
      <c r="AG4018" s="93"/>
      <c r="AH4018" s="93"/>
      <c r="AI4018" s="93"/>
      <c r="AJ4018" s="93"/>
    </row>
    <row r="4019" spans="30:36" ht="18">
      <c r="AD4019" s="93"/>
      <c r="AE4019" s="215"/>
      <c r="AF4019" s="93"/>
      <c r="AG4019" s="93"/>
      <c r="AH4019" s="93"/>
      <c r="AI4019" s="93"/>
      <c r="AJ4019" s="93"/>
    </row>
    <row r="4020" spans="30:36" ht="18">
      <c r="AD4020" s="93"/>
      <c r="AE4020" s="214"/>
      <c r="AF4020" s="93"/>
      <c r="AG4020" s="93"/>
      <c r="AH4020" s="93"/>
      <c r="AI4020" s="93"/>
      <c r="AJ4020" s="93"/>
    </row>
    <row r="4021" spans="30:36" ht="18">
      <c r="AD4021" s="93"/>
      <c r="AE4021" s="214"/>
      <c r="AF4021" s="93"/>
      <c r="AG4021" s="93"/>
      <c r="AH4021" s="93"/>
      <c r="AI4021" s="93"/>
      <c r="AJ4021" s="93"/>
    </row>
    <row r="4022" spans="30:36" ht="18">
      <c r="AD4022" s="93"/>
      <c r="AE4022" s="215"/>
      <c r="AF4022" s="93"/>
      <c r="AG4022" s="93"/>
      <c r="AH4022" s="93"/>
      <c r="AI4022" s="93"/>
      <c r="AJ4022" s="93"/>
    </row>
    <row r="4023" spans="30:36" ht="18">
      <c r="AD4023" s="93"/>
      <c r="AE4023" s="214"/>
      <c r="AF4023" s="93"/>
      <c r="AG4023" s="93"/>
      <c r="AH4023" s="93"/>
      <c r="AI4023" s="93"/>
      <c r="AJ4023" s="93"/>
    </row>
    <row r="4024" spans="30:36" ht="18">
      <c r="AD4024" s="93"/>
      <c r="AE4024" s="214"/>
      <c r="AF4024" s="93"/>
      <c r="AG4024" s="93"/>
      <c r="AH4024" s="93"/>
      <c r="AI4024" s="93"/>
      <c r="AJ4024" s="93"/>
    </row>
    <row r="4025" spans="30:36" ht="18">
      <c r="AD4025" s="93"/>
      <c r="AE4025" s="215"/>
      <c r="AF4025" s="93"/>
      <c r="AG4025" s="93"/>
      <c r="AH4025" s="93"/>
      <c r="AI4025" s="93"/>
      <c r="AJ4025" s="93"/>
    </row>
    <row r="4026" spans="30:36" ht="18">
      <c r="AD4026" s="93"/>
      <c r="AE4026" s="214"/>
      <c r="AF4026" s="93"/>
      <c r="AG4026" s="93"/>
      <c r="AH4026" s="93"/>
      <c r="AI4026" s="93"/>
      <c r="AJ4026" s="93"/>
    </row>
    <row r="4027" spans="30:36" ht="18">
      <c r="AD4027" s="93"/>
      <c r="AE4027" s="214"/>
      <c r="AF4027" s="93"/>
      <c r="AG4027" s="93"/>
      <c r="AH4027" s="93"/>
      <c r="AI4027" s="93"/>
      <c r="AJ4027" s="93"/>
    </row>
    <row r="4028" spans="30:36" ht="18">
      <c r="AD4028" s="93"/>
      <c r="AE4028" s="215"/>
      <c r="AF4028" s="93"/>
      <c r="AG4028" s="93"/>
      <c r="AH4028" s="93"/>
      <c r="AI4028" s="93"/>
      <c r="AJ4028" s="93"/>
    </row>
    <row r="4029" spans="30:36" ht="18">
      <c r="AD4029" s="93"/>
      <c r="AE4029" s="214"/>
      <c r="AF4029" s="93"/>
      <c r="AG4029" s="93"/>
      <c r="AH4029" s="93"/>
      <c r="AI4029" s="93"/>
      <c r="AJ4029" s="93"/>
    </row>
    <row r="4030" spans="30:36" ht="18">
      <c r="AD4030" s="93"/>
      <c r="AE4030" s="214"/>
      <c r="AF4030" s="93"/>
      <c r="AG4030" s="93"/>
      <c r="AH4030" s="93"/>
      <c r="AI4030" s="93"/>
      <c r="AJ4030" s="93"/>
    </row>
    <row r="4031" spans="30:36" ht="18">
      <c r="AD4031" s="93"/>
      <c r="AE4031" s="215"/>
      <c r="AF4031" s="93"/>
      <c r="AG4031" s="93"/>
      <c r="AH4031" s="93"/>
      <c r="AI4031" s="93"/>
      <c r="AJ4031" s="93"/>
    </row>
    <row r="4032" spans="30:36" ht="18">
      <c r="AD4032" s="93"/>
      <c r="AE4032" s="214"/>
      <c r="AF4032" s="93"/>
      <c r="AG4032" s="93"/>
      <c r="AH4032" s="93"/>
      <c r="AI4032" s="93"/>
      <c r="AJ4032" s="93"/>
    </row>
    <row r="4033" spans="30:36" ht="18">
      <c r="AD4033" s="93"/>
      <c r="AE4033" s="214"/>
      <c r="AF4033" s="93"/>
      <c r="AG4033" s="93"/>
      <c r="AH4033" s="93"/>
      <c r="AI4033" s="93"/>
      <c r="AJ4033" s="93"/>
    </row>
    <row r="4034" spans="30:36" ht="18">
      <c r="AD4034" s="93"/>
      <c r="AE4034" s="215"/>
      <c r="AF4034" s="93"/>
      <c r="AG4034" s="93"/>
      <c r="AH4034" s="93"/>
      <c r="AI4034" s="93"/>
      <c r="AJ4034" s="93"/>
    </row>
    <row r="4035" spans="30:36" ht="18">
      <c r="AD4035" s="93"/>
      <c r="AE4035" s="214"/>
      <c r="AF4035" s="93"/>
      <c r="AG4035" s="93"/>
      <c r="AH4035" s="93"/>
      <c r="AI4035" s="93"/>
      <c r="AJ4035" s="93"/>
    </row>
    <row r="4036" spans="30:36" ht="18">
      <c r="AD4036" s="93"/>
      <c r="AE4036" s="214"/>
      <c r="AF4036" s="93"/>
      <c r="AG4036" s="93"/>
      <c r="AH4036" s="93"/>
      <c r="AI4036" s="93"/>
      <c r="AJ4036" s="93"/>
    </row>
    <row r="4037" spans="30:36" ht="18">
      <c r="AD4037" s="93"/>
      <c r="AE4037" s="215"/>
      <c r="AF4037" s="93"/>
      <c r="AG4037" s="93"/>
      <c r="AH4037" s="93"/>
      <c r="AI4037" s="93"/>
      <c r="AJ4037" s="93"/>
    </row>
    <row r="4038" spans="30:36" ht="18">
      <c r="AD4038" s="93"/>
      <c r="AE4038" s="214"/>
      <c r="AF4038" s="93"/>
      <c r="AG4038" s="93"/>
      <c r="AH4038" s="93"/>
      <c r="AI4038" s="93"/>
      <c r="AJ4038" s="93"/>
    </row>
    <row r="4039" spans="30:36" ht="18">
      <c r="AD4039" s="93"/>
      <c r="AE4039" s="214"/>
      <c r="AF4039" s="93"/>
      <c r="AG4039" s="93"/>
      <c r="AH4039" s="93"/>
      <c r="AI4039" s="93"/>
      <c r="AJ4039" s="93"/>
    </row>
    <row r="4040" spans="30:36" ht="18">
      <c r="AD4040" s="93"/>
      <c r="AE4040" s="214"/>
      <c r="AF4040" s="93"/>
      <c r="AG4040" s="93"/>
      <c r="AH4040" s="93"/>
      <c r="AI4040" s="93"/>
      <c r="AJ4040" s="93"/>
    </row>
    <row r="4041" spans="30:36" ht="18">
      <c r="AD4041" s="93"/>
      <c r="AE4041" s="214"/>
      <c r="AF4041" s="93"/>
      <c r="AG4041" s="93"/>
      <c r="AH4041" s="93"/>
      <c r="AI4041" s="93"/>
      <c r="AJ4041" s="93"/>
    </row>
    <row r="4042" spans="30:36" ht="18">
      <c r="AD4042" s="93"/>
      <c r="AE4042" s="214"/>
      <c r="AF4042" s="93"/>
      <c r="AG4042" s="93"/>
      <c r="AH4042" s="93"/>
      <c r="AI4042" s="93"/>
      <c r="AJ4042" s="93"/>
    </row>
    <row r="4043" spans="30:36" ht="18">
      <c r="AD4043" s="93"/>
      <c r="AE4043" s="215"/>
      <c r="AF4043" s="93"/>
      <c r="AG4043" s="93"/>
      <c r="AH4043" s="93"/>
      <c r="AI4043" s="93"/>
      <c r="AJ4043" s="93"/>
    </row>
    <row r="4044" spans="30:36" ht="18">
      <c r="AD4044" s="93"/>
      <c r="AE4044" s="214"/>
      <c r="AF4044" s="93"/>
      <c r="AG4044" s="93"/>
      <c r="AH4044" s="93"/>
      <c r="AI4044" s="93"/>
      <c r="AJ4044" s="93"/>
    </row>
    <row r="4045" spans="30:36" ht="18">
      <c r="AD4045" s="93"/>
      <c r="AE4045" s="214"/>
      <c r="AF4045" s="93"/>
      <c r="AG4045" s="93"/>
      <c r="AH4045" s="93"/>
      <c r="AI4045" s="93"/>
      <c r="AJ4045" s="93"/>
    </row>
    <row r="4046" spans="30:36" ht="18">
      <c r="AD4046" s="93"/>
      <c r="AE4046" s="215"/>
      <c r="AF4046" s="93"/>
      <c r="AG4046" s="93"/>
      <c r="AH4046" s="93"/>
      <c r="AI4046" s="93"/>
      <c r="AJ4046" s="93"/>
    </row>
    <row r="4047" spans="30:36" ht="18">
      <c r="AD4047" s="93"/>
      <c r="AE4047" s="214"/>
      <c r="AF4047" s="93"/>
      <c r="AG4047" s="93"/>
      <c r="AH4047" s="93"/>
      <c r="AI4047" s="93"/>
      <c r="AJ4047" s="93"/>
    </row>
    <row r="4048" spans="30:36" ht="18">
      <c r="AD4048" s="93"/>
      <c r="AE4048" s="214"/>
      <c r="AF4048" s="93"/>
      <c r="AG4048" s="93"/>
      <c r="AH4048" s="93"/>
      <c r="AI4048" s="93"/>
      <c r="AJ4048" s="93"/>
    </row>
    <row r="4049" spans="30:36" ht="18">
      <c r="AD4049" s="93"/>
      <c r="AE4049" s="215"/>
      <c r="AF4049" s="93"/>
      <c r="AG4049" s="93"/>
      <c r="AH4049" s="93"/>
      <c r="AI4049" s="93"/>
      <c r="AJ4049" s="93"/>
    </row>
    <row r="4050" spans="30:36" ht="18">
      <c r="AD4050" s="93"/>
      <c r="AE4050" s="214"/>
      <c r="AF4050" s="93"/>
      <c r="AG4050" s="93"/>
      <c r="AH4050" s="93"/>
      <c r="AI4050" s="93"/>
      <c r="AJ4050" s="93"/>
    </row>
    <row r="4051" spans="30:36" ht="18">
      <c r="AD4051" s="93"/>
      <c r="AE4051" s="214"/>
      <c r="AF4051" s="93"/>
      <c r="AG4051" s="93"/>
      <c r="AH4051" s="93"/>
      <c r="AI4051" s="93"/>
      <c r="AJ4051" s="93"/>
    </row>
    <row r="4052" spans="30:36" ht="18">
      <c r="AD4052" s="93"/>
      <c r="AE4052" s="215"/>
      <c r="AF4052" s="93"/>
      <c r="AG4052" s="93"/>
      <c r="AH4052" s="93"/>
      <c r="AI4052" s="93"/>
      <c r="AJ4052" s="93"/>
    </row>
    <row r="4053" spans="30:36" ht="18">
      <c r="AD4053" s="93"/>
      <c r="AE4053" s="214"/>
      <c r="AF4053" s="93"/>
      <c r="AG4053" s="93"/>
      <c r="AH4053" s="93"/>
      <c r="AI4053" s="93"/>
      <c r="AJ4053" s="93"/>
    </row>
    <row r="4054" spans="30:36" ht="18">
      <c r="AD4054" s="93"/>
      <c r="AE4054" s="214"/>
      <c r="AF4054" s="93"/>
      <c r="AG4054" s="93"/>
      <c r="AH4054" s="93"/>
      <c r="AI4054" s="93"/>
      <c r="AJ4054" s="93"/>
    </row>
    <row r="4055" spans="30:36" ht="18">
      <c r="AD4055" s="93"/>
      <c r="AE4055" s="215"/>
      <c r="AF4055" s="93"/>
      <c r="AG4055" s="93"/>
      <c r="AH4055" s="93"/>
      <c r="AI4055" s="93"/>
      <c r="AJ4055" s="93"/>
    </row>
    <row r="4056" spans="30:36" ht="18">
      <c r="AD4056" s="93"/>
      <c r="AE4056" s="214"/>
      <c r="AF4056" s="93"/>
      <c r="AG4056" s="93"/>
      <c r="AH4056" s="93"/>
      <c r="AI4056" s="93"/>
      <c r="AJ4056" s="93"/>
    </row>
    <row r="4057" spans="30:36" ht="18">
      <c r="AD4057" s="93"/>
      <c r="AE4057" s="214"/>
      <c r="AF4057" s="93"/>
      <c r="AG4057" s="93"/>
      <c r="AH4057" s="93"/>
      <c r="AI4057" s="93"/>
      <c r="AJ4057" s="93"/>
    </row>
    <row r="4058" spans="30:36" ht="18">
      <c r="AD4058" s="93"/>
      <c r="AE4058" s="215"/>
      <c r="AF4058" s="93"/>
      <c r="AG4058" s="93"/>
      <c r="AH4058" s="93"/>
      <c r="AI4058" s="93"/>
      <c r="AJ4058" s="93"/>
    </row>
    <row r="4059" spans="30:36" ht="18">
      <c r="AD4059" s="93"/>
      <c r="AE4059" s="214"/>
      <c r="AF4059" s="93"/>
      <c r="AG4059" s="93"/>
      <c r="AH4059" s="93"/>
      <c r="AI4059" s="93"/>
      <c r="AJ4059" s="93"/>
    </row>
    <row r="4060" spans="30:36" ht="18">
      <c r="AD4060" s="93"/>
      <c r="AE4060" s="214"/>
      <c r="AF4060" s="93"/>
      <c r="AG4060" s="93"/>
      <c r="AH4060" s="93"/>
      <c r="AI4060" s="93"/>
      <c r="AJ4060" s="93"/>
    </row>
    <row r="4061" spans="30:36" ht="18">
      <c r="AD4061" s="93"/>
      <c r="AE4061" s="215"/>
      <c r="AF4061" s="93"/>
      <c r="AG4061" s="93"/>
      <c r="AH4061" s="93"/>
      <c r="AI4061" s="93"/>
      <c r="AJ4061" s="93"/>
    </row>
    <row r="4062" spans="30:36" ht="18">
      <c r="AD4062" s="93"/>
      <c r="AE4062" s="214"/>
      <c r="AF4062" s="93"/>
      <c r="AG4062" s="93"/>
      <c r="AH4062" s="93"/>
      <c r="AI4062" s="93"/>
      <c r="AJ4062" s="93"/>
    </row>
    <row r="4063" spans="30:36" ht="18">
      <c r="AD4063" s="93"/>
      <c r="AE4063" s="214"/>
      <c r="AF4063" s="93"/>
      <c r="AG4063" s="93"/>
      <c r="AH4063" s="93"/>
      <c r="AI4063" s="93"/>
      <c r="AJ4063" s="93"/>
    </row>
    <row r="4064" spans="30:36" ht="18">
      <c r="AD4064" s="93"/>
      <c r="AE4064" s="215"/>
      <c r="AF4064" s="93"/>
      <c r="AG4064" s="93"/>
      <c r="AH4064" s="93"/>
      <c r="AI4064" s="93"/>
      <c r="AJ4064" s="93"/>
    </row>
    <row r="4065" spans="30:36" ht="18">
      <c r="AD4065" s="93"/>
      <c r="AE4065" s="214"/>
      <c r="AF4065" s="93"/>
      <c r="AG4065" s="93"/>
      <c r="AH4065" s="93"/>
      <c r="AI4065" s="93"/>
      <c r="AJ4065" s="93"/>
    </row>
    <row r="4066" spans="30:36" ht="18">
      <c r="AD4066" s="93"/>
      <c r="AE4066" s="214"/>
      <c r="AF4066" s="93"/>
      <c r="AG4066" s="93"/>
      <c r="AH4066" s="93"/>
      <c r="AI4066" s="93"/>
      <c r="AJ4066" s="93"/>
    </row>
    <row r="4067" spans="30:36" ht="18">
      <c r="AD4067" s="93"/>
      <c r="AE4067" s="215"/>
      <c r="AF4067" s="93"/>
      <c r="AG4067" s="93"/>
      <c r="AH4067" s="93"/>
      <c r="AI4067" s="93"/>
      <c r="AJ4067" s="93"/>
    </row>
    <row r="4068" spans="30:36" ht="18">
      <c r="AD4068" s="93"/>
      <c r="AE4068" s="214"/>
      <c r="AF4068" s="93"/>
      <c r="AG4068" s="93"/>
      <c r="AH4068" s="93"/>
      <c r="AI4068" s="93"/>
      <c r="AJ4068" s="93"/>
    </row>
    <row r="4069" spans="30:36" ht="18">
      <c r="AD4069" s="93"/>
      <c r="AE4069" s="214"/>
      <c r="AF4069" s="93"/>
      <c r="AG4069" s="93"/>
      <c r="AH4069" s="93"/>
      <c r="AI4069" s="93"/>
      <c r="AJ4069" s="93"/>
    </row>
    <row r="4070" spans="30:36" ht="18">
      <c r="AD4070" s="93"/>
      <c r="AE4070" s="215"/>
      <c r="AF4070" s="93"/>
      <c r="AG4070" s="93"/>
      <c r="AH4070" s="93"/>
      <c r="AI4070" s="93"/>
      <c r="AJ4070" s="93"/>
    </row>
    <row r="4071" spans="30:36" ht="18">
      <c r="AD4071" s="93"/>
      <c r="AE4071" s="214"/>
      <c r="AF4071" s="93"/>
      <c r="AG4071" s="93"/>
      <c r="AH4071" s="93"/>
      <c r="AI4071" s="93"/>
      <c r="AJ4071" s="93"/>
    </row>
    <row r="4072" spans="30:36" ht="18">
      <c r="AD4072" s="93"/>
      <c r="AE4072" s="214"/>
      <c r="AF4072" s="93"/>
      <c r="AG4072" s="93"/>
      <c r="AH4072" s="93"/>
      <c r="AI4072" s="93"/>
      <c r="AJ4072" s="93"/>
    </row>
    <row r="4073" spans="30:36" ht="18">
      <c r="AD4073" s="93"/>
      <c r="AE4073" s="215"/>
      <c r="AF4073" s="93"/>
      <c r="AG4073" s="93"/>
      <c r="AH4073" s="93"/>
      <c r="AI4073" s="93"/>
      <c r="AJ4073" s="93"/>
    </row>
    <row r="4074" spans="30:36" ht="18">
      <c r="AD4074" s="93"/>
      <c r="AE4074" s="214"/>
      <c r="AF4074" s="93"/>
      <c r="AG4074" s="93"/>
      <c r="AH4074" s="93"/>
      <c r="AI4074" s="93"/>
      <c r="AJ4074" s="93"/>
    </row>
    <row r="4075" spans="30:36" ht="18">
      <c r="AD4075" s="93"/>
      <c r="AE4075" s="214"/>
      <c r="AF4075" s="93"/>
      <c r="AG4075" s="93"/>
      <c r="AH4075" s="93"/>
      <c r="AI4075" s="93"/>
      <c r="AJ4075" s="93"/>
    </row>
    <row r="4076" spans="30:36" ht="18">
      <c r="AD4076" s="93"/>
      <c r="AE4076" s="215"/>
      <c r="AF4076" s="93"/>
      <c r="AG4076" s="93"/>
      <c r="AH4076" s="93"/>
      <c r="AI4076" s="93"/>
      <c r="AJ4076" s="93"/>
    </row>
    <row r="4077" spans="30:36" ht="18">
      <c r="AD4077" s="93"/>
      <c r="AE4077" s="214"/>
      <c r="AF4077" s="93"/>
      <c r="AG4077" s="93"/>
      <c r="AH4077" s="93"/>
      <c r="AI4077" s="93"/>
      <c r="AJ4077" s="93"/>
    </row>
    <row r="4078" spans="30:36" ht="18">
      <c r="AD4078" s="93"/>
      <c r="AE4078" s="214"/>
      <c r="AF4078" s="93"/>
      <c r="AG4078" s="93"/>
      <c r="AH4078" s="93"/>
      <c r="AI4078" s="93"/>
      <c r="AJ4078" s="93"/>
    </row>
    <row r="4079" spans="30:36" ht="18">
      <c r="AD4079" s="93"/>
      <c r="AE4079" s="215"/>
      <c r="AF4079" s="93"/>
      <c r="AG4079" s="93"/>
      <c r="AH4079" s="93"/>
      <c r="AI4079" s="93"/>
      <c r="AJ4079" s="93"/>
    </row>
    <row r="4080" spans="30:36" ht="18">
      <c r="AD4080" s="93"/>
      <c r="AE4080" s="214"/>
      <c r="AF4080" s="93"/>
      <c r="AG4080" s="93"/>
      <c r="AH4080" s="93"/>
      <c r="AI4080" s="93"/>
      <c r="AJ4080" s="93"/>
    </row>
    <row r="4081" spans="30:36" ht="18">
      <c r="AD4081" s="93"/>
      <c r="AE4081" s="214"/>
      <c r="AF4081" s="93"/>
      <c r="AG4081" s="93"/>
      <c r="AH4081" s="93"/>
      <c r="AI4081" s="93"/>
      <c r="AJ4081" s="93"/>
    </row>
    <row r="4082" spans="30:36" ht="18">
      <c r="AD4082" s="93"/>
      <c r="AE4082" s="215"/>
      <c r="AF4082" s="93"/>
      <c r="AG4082" s="93"/>
      <c r="AH4082" s="93"/>
      <c r="AI4082" s="93"/>
      <c r="AJ4082" s="93"/>
    </row>
    <row r="4083" spans="30:36" ht="18">
      <c r="AD4083" s="93"/>
      <c r="AE4083" s="214"/>
      <c r="AF4083" s="93"/>
      <c r="AG4083" s="93"/>
      <c r="AH4083" s="93"/>
      <c r="AI4083" s="93"/>
      <c r="AJ4083" s="93"/>
    </row>
    <row r="4084" spans="30:36" ht="18">
      <c r="AD4084" s="93"/>
      <c r="AE4084" s="214"/>
      <c r="AF4084" s="93"/>
      <c r="AG4084" s="93"/>
      <c r="AH4084" s="93"/>
      <c r="AI4084" s="93"/>
      <c r="AJ4084" s="93"/>
    </row>
    <row r="4085" spans="30:36" ht="18">
      <c r="AD4085" s="93"/>
      <c r="AE4085" s="215"/>
      <c r="AF4085" s="93"/>
      <c r="AG4085" s="93"/>
      <c r="AH4085" s="93"/>
      <c r="AI4085" s="93"/>
      <c r="AJ4085" s="93"/>
    </row>
    <row r="4086" spans="30:36" ht="18">
      <c r="AD4086" s="93"/>
      <c r="AE4086" s="214"/>
      <c r="AF4086" s="93"/>
      <c r="AG4086" s="93"/>
      <c r="AH4086" s="93"/>
      <c r="AI4086" s="93"/>
      <c r="AJ4086" s="93"/>
    </row>
    <row r="4087" spans="30:36" ht="18">
      <c r="AD4087" s="93"/>
      <c r="AE4087" s="214"/>
      <c r="AF4087" s="93"/>
      <c r="AG4087" s="93"/>
      <c r="AH4087" s="93"/>
      <c r="AI4087" s="93"/>
      <c r="AJ4087" s="93"/>
    </row>
    <row r="4088" spans="30:36" ht="18">
      <c r="AD4088" s="93"/>
      <c r="AE4088" s="215"/>
      <c r="AF4088" s="93"/>
      <c r="AG4088" s="93"/>
      <c r="AH4088" s="93"/>
      <c r="AI4088" s="93"/>
      <c r="AJ4088" s="93"/>
    </row>
    <row r="4089" spans="30:36" ht="18">
      <c r="AD4089" s="93"/>
      <c r="AE4089" s="214"/>
      <c r="AF4089" s="93"/>
      <c r="AG4089" s="93"/>
      <c r="AH4089" s="93"/>
      <c r="AI4089" s="93"/>
      <c r="AJ4089" s="93"/>
    </row>
    <row r="4090" spans="30:36" ht="18">
      <c r="AD4090" s="93"/>
      <c r="AE4090" s="214"/>
      <c r="AF4090" s="93"/>
      <c r="AG4090" s="93"/>
      <c r="AH4090" s="93"/>
      <c r="AI4090" s="93"/>
      <c r="AJ4090" s="93"/>
    </row>
    <row r="4091" spans="30:36" ht="18">
      <c r="AD4091" s="93"/>
      <c r="AE4091" s="214"/>
      <c r="AF4091" s="93"/>
      <c r="AG4091" s="93"/>
      <c r="AH4091" s="93"/>
      <c r="AI4091" s="93"/>
      <c r="AJ4091" s="93"/>
    </row>
    <row r="4092" spans="30:36" ht="18">
      <c r="AD4092" s="93"/>
      <c r="AE4092" s="214"/>
      <c r="AF4092" s="93"/>
      <c r="AG4092" s="93"/>
      <c r="AH4092" s="93"/>
      <c r="AI4092" s="93"/>
      <c r="AJ4092" s="93"/>
    </row>
    <row r="4093" spans="30:36" ht="18">
      <c r="AD4093" s="93"/>
      <c r="AE4093" s="214"/>
      <c r="AF4093" s="93"/>
      <c r="AG4093" s="93"/>
      <c r="AH4093" s="93"/>
      <c r="AI4093" s="93"/>
      <c r="AJ4093" s="93"/>
    </row>
    <row r="4094" spans="30:36" ht="18">
      <c r="AD4094" s="93"/>
      <c r="AE4094" s="215"/>
      <c r="AF4094" s="93"/>
      <c r="AG4094" s="93"/>
      <c r="AH4094" s="93"/>
      <c r="AI4094" s="93"/>
      <c r="AJ4094" s="93"/>
    </row>
    <row r="4095" spans="30:36" ht="18">
      <c r="AD4095" s="93"/>
      <c r="AE4095" s="214"/>
      <c r="AF4095" s="93"/>
      <c r="AG4095" s="93"/>
      <c r="AH4095" s="93"/>
      <c r="AI4095" s="93"/>
      <c r="AJ4095" s="93"/>
    </row>
    <row r="4096" spans="30:36" ht="18">
      <c r="AD4096" s="93"/>
      <c r="AE4096" s="214"/>
      <c r="AF4096" s="93"/>
      <c r="AG4096" s="93"/>
      <c r="AH4096" s="93"/>
      <c r="AI4096" s="93"/>
      <c r="AJ4096" s="93"/>
    </row>
    <row r="4097" spans="30:36" ht="18">
      <c r="AD4097" s="93"/>
      <c r="AE4097" s="215"/>
      <c r="AF4097" s="93"/>
      <c r="AG4097" s="93"/>
      <c r="AH4097" s="93"/>
      <c r="AI4097" s="93"/>
      <c r="AJ4097" s="93"/>
    </row>
    <row r="4098" spans="30:36" ht="18">
      <c r="AD4098" s="93"/>
      <c r="AE4098" s="214"/>
      <c r="AF4098" s="93"/>
      <c r="AG4098" s="93"/>
      <c r="AH4098" s="93"/>
      <c r="AI4098" s="93"/>
      <c r="AJ4098" s="93"/>
    </row>
    <row r="4099" spans="30:36" ht="18">
      <c r="AD4099" s="93"/>
      <c r="AE4099" s="214"/>
      <c r="AF4099" s="93"/>
      <c r="AG4099" s="93"/>
      <c r="AH4099" s="93"/>
      <c r="AI4099" s="93"/>
      <c r="AJ4099" s="93"/>
    </row>
    <row r="4100" spans="30:36" ht="18">
      <c r="AD4100" s="93"/>
      <c r="AE4100" s="215"/>
      <c r="AF4100" s="93"/>
      <c r="AG4100" s="93"/>
      <c r="AH4100" s="93"/>
      <c r="AI4100" s="93"/>
      <c r="AJ4100" s="93"/>
    </row>
    <row r="4101" spans="30:36" ht="18">
      <c r="AD4101" s="93"/>
      <c r="AE4101" s="214"/>
      <c r="AF4101" s="93"/>
      <c r="AG4101" s="93"/>
      <c r="AH4101" s="93"/>
      <c r="AI4101" s="93"/>
      <c r="AJ4101" s="93"/>
    </row>
    <row r="4102" spans="30:36" ht="18">
      <c r="AD4102" s="93"/>
      <c r="AE4102" s="214"/>
      <c r="AF4102" s="93"/>
      <c r="AG4102" s="93"/>
      <c r="AH4102" s="93"/>
      <c r="AI4102" s="93"/>
      <c r="AJ4102" s="93"/>
    </row>
    <row r="4103" spans="30:36" ht="18">
      <c r="AD4103" s="93"/>
      <c r="AE4103" s="215"/>
      <c r="AF4103" s="93"/>
      <c r="AG4103" s="93"/>
      <c r="AH4103" s="93"/>
      <c r="AI4103" s="93"/>
      <c r="AJ4103" s="93"/>
    </row>
    <row r="4104" spans="30:36" ht="18">
      <c r="AD4104" s="93"/>
      <c r="AE4104" s="214"/>
      <c r="AF4104" s="93"/>
      <c r="AG4104" s="93"/>
      <c r="AH4104" s="93"/>
      <c r="AI4104" s="93"/>
      <c r="AJ4104" s="93"/>
    </row>
    <row r="4105" spans="30:36" ht="18">
      <c r="AD4105" s="93"/>
      <c r="AE4105" s="214"/>
      <c r="AF4105" s="93"/>
      <c r="AG4105" s="93"/>
      <c r="AH4105" s="93"/>
      <c r="AI4105" s="93"/>
      <c r="AJ4105" s="93"/>
    </row>
    <row r="4106" spans="30:36" ht="18">
      <c r="AD4106" s="93"/>
      <c r="AE4106" s="215"/>
      <c r="AF4106" s="93"/>
      <c r="AG4106" s="93"/>
      <c r="AH4106" s="93"/>
      <c r="AI4106" s="93"/>
      <c r="AJ4106" s="93"/>
    </row>
    <row r="4107" spans="30:36" ht="18">
      <c r="AD4107" s="93"/>
      <c r="AE4107" s="215"/>
      <c r="AF4107" s="93"/>
      <c r="AG4107" s="93"/>
      <c r="AH4107" s="93"/>
      <c r="AI4107" s="93"/>
      <c r="AJ4107" s="93"/>
    </row>
    <row r="4108" spans="30:36" ht="18">
      <c r="AD4108" s="93"/>
      <c r="AE4108" s="214"/>
      <c r="AF4108" s="93"/>
      <c r="AG4108" s="93"/>
      <c r="AH4108" s="93"/>
      <c r="AI4108" s="93"/>
      <c r="AJ4108" s="93"/>
    </row>
    <row r="4109" spans="30:36" ht="18">
      <c r="AD4109" s="93"/>
      <c r="AE4109" s="214"/>
      <c r="AF4109" s="93"/>
      <c r="AG4109" s="93"/>
      <c r="AH4109" s="93"/>
      <c r="AI4109" s="93"/>
      <c r="AJ4109" s="93"/>
    </row>
    <row r="4110" spans="30:36" ht="18">
      <c r="AD4110" s="93"/>
      <c r="AE4110" s="215"/>
      <c r="AF4110" s="93"/>
      <c r="AG4110" s="93"/>
      <c r="AH4110" s="93"/>
      <c r="AI4110" s="93"/>
      <c r="AJ4110" s="93"/>
    </row>
    <row r="4111" spans="30:36" ht="18">
      <c r="AD4111" s="93"/>
      <c r="AE4111" s="214"/>
      <c r="AF4111" s="93"/>
      <c r="AG4111" s="93"/>
      <c r="AH4111" s="93"/>
      <c r="AI4111" s="93"/>
      <c r="AJ4111" s="93"/>
    </row>
    <row r="4112" spans="30:36" ht="18">
      <c r="AD4112" s="93"/>
      <c r="AE4112" s="214"/>
      <c r="AF4112" s="93"/>
      <c r="AG4112" s="93"/>
      <c r="AH4112" s="93"/>
      <c r="AI4112" s="93"/>
      <c r="AJ4112" s="93"/>
    </row>
    <row r="4113" spans="30:36" ht="18">
      <c r="AD4113" s="93"/>
      <c r="AE4113" s="215"/>
      <c r="AF4113" s="93"/>
      <c r="AG4113" s="93"/>
      <c r="AH4113" s="93"/>
      <c r="AI4113" s="93"/>
      <c r="AJ4113" s="93"/>
    </row>
    <row r="4114" spans="30:36" ht="18">
      <c r="AD4114" s="93"/>
      <c r="AE4114" s="214"/>
      <c r="AF4114" s="93"/>
      <c r="AG4114" s="93"/>
      <c r="AH4114" s="93"/>
      <c r="AI4114" s="93"/>
      <c r="AJ4114" s="93"/>
    </row>
    <row r="4115" spans="30:36" ht="18">
      <c r="AD4115" s="93"/>
      <c r="AE4115" s="214"/>
      <c r="AF4115" s="93"/>
      <c r="AG4115" s="93"/>
      <c r="AH4115" s="93"/>
      <c r="AI4115" s="93"/>
      <c r="AJ4115" s="93"/>
    </row>
    <row r="4116" spans="30:36" ht="18">
      <c r="AD4116" s="93"/>
      <c r="AE4116" s="215"/>
      <c r="AF4116" s="93"/>
      <c r="AG4116" s="93"/>
      <c r="AH4116" s="93"/>
      <c r="AI4116" s="93"/>
      <c r="AJ4116" s="93"/>
    </row>
    <row r="4117" spans="30:36" ht="18">
      <c r="AD4117" s="93"/>
      <c r="AE4117" s="214"/>
      <c r="AF4117" s="93"/>
      <c r="AG4117" s="93"/>
      <c r="AH4117" s="93"/>
      <c r="AI4117" s="93"/>
      <c r="AJ4117" s="93"/>
    </row>
    <row r="4118" spans="30:36" ht="18">
      <c r="AD4118" s="93"/>
      <c r="AE4118" s="214"/>
      <c r="AF4118" s="93"/>
      <c r="AG4118" s="93"/>
      <c r="AH4118" s="93"/>
      <c r="AI4118" s="93"/>
      <c r="AJ4118" s="93"/>
    </row>
    <row r="4119" spans="30:36" ht="18">
      <c r="AD4119" s="93"/>
      <c r="AE4119" s="215"/>
      <c r="AF4119" s="93"/>
      <c r="AG4119" s="93"/>
      <c r="AH4119" s="93"/>
      <c r="AI4119" s="93"/>
      <c r="AJ4119" s="93"/>
    </row>
    <row r="4120" spans="30:36" ht="18">
      <c r="AD4120" s="93"/>
      <c r="AE4120" s="214"/>
      <c r="AF4120" s="93"/>
      <c r="AG4120" s="93"/>
      <c r="AH4120" s="93"/>
      <c r="AI4120" s="93"/>
      <c r="AJ4120" s="93"/>
    </row>
    <row r="4121" spans="30:36" ht="18">
      <c r="AD4121" s="93"/>
      <c r="AE4121" s="214"/>
      <c r="AF4121" s="93"/>
      <c r="AG4121" s="93"/>
      <c r="AH4121" s="93"/>
      <c r="AI4121" s="93"/>
      <c r="AJ4121" s="93"/>
    </row>
    <row r="4122" spans="30:36" ht="18">
      <c r="AD4122" s="93"/>
      <c r="AE4122" s="215"/>
      <c r="AF4122" s="93"/>
      <c r="AG4122" s="93"/>
      <c r="AH4122" s="93"/>
      <c r="AI4122" s="93"/>
      <c r="AJ4122" s="93"/>
    </row>
    <row r="4123" spans="30:36" ht="18">
      <c r="AD4123" s="93"/>
      <c r="AE4123" s="214"/>
      <c r="AF4123" s="93"/>
      <c r="AG4123" s="93"/>
      <c r="AH4123" s="93"/>
      <c r="AI4123" s="93"/>
      <c r="AJ4123" s="93"/>
    </row>
    <row r="4124" spans="30:36" ht="18">
      <c r="AD4124" s="93"/>
      <c r="AE4124" s="214"/>
      <c r="AF4124" s="93"/>
      <c r="AG4124" s="93"/>
      <c r="AH4124" s="93"/>
      <c r="AI4124" s="93"/>
      <c r="AJ4124" s="93"/>
    </row>
    <row r="4125" spans="30:36" ht="18">
      <c r="AD4125" s="93"/>
      <c r="AE4125" s="215"/>
      <c r="AF4125" s="93"/>
      <c r="AG4125" s="93"/>
      <c r="AH4125" s="93"/>
      <c r="AI4125" s="93"/>
      <c r="AJ4125" s="93"/>
    </row>
    <row r="4126" spans="30:36" ht="18">
      <c r="AD4126" s="93"/>
      <c r="AE4126" s="214"/>
      <c r="AF4126" s="93"/>
      <c r="AG4126" s="93"/>
      <c r="AH4126" s="93"/>
      <c r="AI4126" s="93"/>
      <c r="AJ4126" s="93"/>
    </row>
    <row r="4127" spans="30:36" ht="18">
      <c r="AD4127" s="93"/>
      <c r="AE4127" s="214"/>
      <c r="AF4127" s="93"/>
      <c r="AG4127" s="93"/>
      <c r="AH4127" s="93"/>
      <c r="AI4127" s="93"/>
      <c r="AJ4127" s="93"/>
    </row>
    <row r="4128" spans="30:36" ht="18">
      <c r="AD4128" s="93"/>
      <c r="AE4128" s="215"/>
      <c r="AF4128" s="93"/>
      <c r="AG4128" s="93"/>
      <c r="AH4128" s="93"/>
      <c r="AI4128" s="93"/>
      <c r="AJ4128" s="93"/>
    </row>
    <row r="4129" spans="30:36" ht="18">
      <c r="AD4129" s="93"/>
      <c r="AE4129" s="214"/>
      <c r="AF4129" s="93"/>
      <c r="AG4129" s="93"/>
      <c r="AH4129" s="93"/>
      <c r="AI4129" s="93"/>
      <c r="AJ4129" s="93"/>
    </row>
    <row r="4130" spans="30:36" ht="18">
      <c r="AD4130" s="93"/>
      <c r="AE4130" s="214"/>
      <c r="AF4130" s="93"/>
      <c r="AG4130" s="93"/>
      <c r="AH4130" s="93"/>
      <c r="AI4130" s="93"/>
      <c r="AJ4130" s="93"/>
    </row>
    <row r="4131" spans="30:36" ht="18">
      <c r="AD4131" s="93"/>
      <c r="AE4131" s="215"/>
      <c r="AF4131" s="93"/>
      <c r="AG4131" s="93"/>
      <c r="AH4131" s="93"/>
      <c r="AI4131" s="93"/>
      <c r="AJ4131" s="93"/>
    </row>
    <row r="4132" spans="30:36" ht="18">
      <c r="AD4132" s="93"/>
      <c r="AE4132" s="214"/>
      <c r="AF4132" s="93"/>
      <c r="AG4132" s="93"/>
      <c r="AH4132" s="93"/>
      <c r="AI4132" s="93"/>
      <c r="AJ4132" s="93"/>
    </row>
    <row r="4133" spans="30:36" ht="18">
      <c r="AD4133" s="93"/>
      <c r="AE4133" s="214"/>
      <c r="AF4133" s="93"/>
      <c r="AG4133" s="93"/>
      <c r="AH4133" s="93"/>
      <c r="AI4133" s="93"/>
      <c r="AJ4133" s="93"/>
    </row>
    <row r="4134" spans="30:36" ht="18">
      <c r="AD4134" s="93"/>
      <c r="AE4134" s="215"/>
      <c r="AF4134" s="93"/>
      <c r="AG4134" s="93"/>
      <c r="AH4134" s="93"/>
      <c r="AI4134" s="93"/>
      <c r="AJ4134" s="93"/>
    </row>
    <row r="4135" spans="30:36" ht="18">
      <c r="AD4135" s="93"/>
      <c r="AE4135" s="214"/>
      <c r="AF4135" s="93"/>
      <c r="AG4135" s="93"/>
      <c r="AH4135" s="93"/>
      <c r="AI4135" s="93"/>
      <c r="AJ4135" s="93"/>
    </row>
    <row r="4136" spans="30:36" ht="18">
      <c r="AD4136" s="93"/>
      <c r="AE4136" s="214"/>
      <c r="AF4136" s="93"/>
      <c r="AG4136" s="93"/>
      <c r="AH4136" s="93"/>
      <c r="AI4136" s="93"/>
      <c r="AJ4136" s="93"/>
    </row>
    <row r="4137" spans="30:36" ht="18">
      <c r="AD4137" s="93"/>
      <c r="AE4137" s="215"/>
      <c r="AF4137" s="93"/>
      <c r="AG4137" s="93"/>
      <c r="AH4137" s="93"/>
      <c r="AI4137" s="93"/>
      <c r="AJ4137" s="93"/>
    </row>
    <row r="4138" spans="30:36" ht="18">
      <c r="AD4138" s="93"/>
      <c r="AE4138" s="214"/>
      <c r="AF4138" s="93"/>
      <c r="AG4138" s="93"/>
      <c r="AH4138" s="93"/>
      <c r="AI4138" s="93"/>
      <c r="AJ4138" s="93"/>
    </row>
    <row r="4139" spans="30:36" ht="18">
      <c r="AD4139" s="93"/>
      <c r="AE4139" s="214"/>
      <c r="AF4139" s="93"/>
      <c r="AG4139" s="93"/>
      <c r="AH4139" s="93"/>
      <c r="AI4139" s="93"/>
      <c r="AJ4139" s="93"/>
    </row>
    <row r="4140" spans="30:36" ht="18">
      <c r="AD4140" s="93"/>
      <c r="AE4140" s="215"/>
      <c r="AF4140" s="93"/>
      <c r="AG4140" s="93"/>
      <c r="AH4140" s="93"/>
      <c r="AI4140" s="93"/>
      <c r="AJ4140" s="93"/>
    </row>
    <row r="4141" spans="30:36" ht="18">
      <c r="AD4141" s="93"/>
      <c r="AE4141" s="214"/>
      <c r="AF4141" s="93"/>
      <c r="AG4141" s="93"/>
      <c r="AH4141" s="93"/>
      <c r="AI4141" s="93"/>
      <c r="AJ4141" s="93"/>
    </row>
    <row r="4142" spans="30:36" ht="18">
      <c r="AD4142" s="93"/>
      <c r="AE4142" s="214"/>
      <c r="AF4142" s="93"/>
      <c r="AG4142" s="93"/>
      <c r="AH4142" s="93"/>
      <c r="AI4142" s="93"/>
      <c r="AJ4142" s="93"/>
    </row>
    <row r="4143" spans="30:36" ht="18">
      <c r="AD4143" s="93"/>
      <c r="AE4143" s="215"/>
      <c r="AF4143" s="93"/>
      <c r="AG4143" s="93"/>
      <c r="AH4143" s="93"/>
      <c r="AI4143" s="93"/>
      <c r="AJ4143" s="93"/>
    </row>
    <row r="4144" spans="30:36" ht="18">
      <c r="AD4144" s="93"/>
      <c r="AE4144" s="214"/>
      <c r="AF4144" s="93"/>
      <c r="AG4144" s="93"/>
      <c r="AH4144" s="93"/>
      <c r="AI4144" s="93"/>
      <c r="AJ4144" s="93"/>
    </row>
    <row r="4145" spans="30:36" ht="18">
      <c r="AD4145" s="93"/>
      <c r="AE4145" s="214"/>
      <c r="AF4145" s="93"/>
      <c r="AG4145" s="93"/>
      <c r="AH4145" s="93"/>
      <c r="AI4145" s="93"/>
      <c r="AJ4145" s="93"/>
    </row>
    <row r="4146" spans="30:36" ht="18">
      <c r="AD4146" s="93"/>
      <c r="AE4146" s="215"/>
      <c r="AF4146" s="93"/>
      <c r="AG4146" s="93"/>
      <c r="AH4146" s="93"/>
      <c r="AI4146" s="93"/>
      <c r="AJ4146" s="93"/>
    </row>
    <row r="4147" spans="30:36" ht="18">
      <c r="AD4147" s="93"/>
      <c r="AE4147" s="214"/>
      <c r="AF4147" s="93"/>
      <c r="AG4147" s="93"/>
      <c r="AH4147" s="93"/>
      <c r="AI4147" s="93"/>
      <c r="AJ4147" s="93"/>
    </row>
    <row r="4148" spans="30:36" ht="18">
      <c r="AD4148" s="93"/>
      <c r="AE4148" s="214"/>
      <c r="AF4148" s="93"/>
      <c r="AG4148" s="93"/>
      <c r="AH4148" s="93"/>
      <c r="AI4148" s="93"/>
      <c r="AJ4148" s="93"/>
    </row>
    <row r="4149" spans="30:36" ht="18">
      <c r="AD4149" s="93"/>
      <c r="AE4149" s="215"/>
      <c r="AF4149" s="93"/>
      <c r="AG4149" s="93"/>
      <c r="AH4149" s="93"/>
      <c r="AI4149" s="93"/>
      <c r="AJ4149" s="93"/>
    </row>
    <row r="4150" spans="30:36" ht="18">
      <c r="AD4150" s="93"/>
      <c r="AE4150" s="214"/>
      <c r="AF4150" s="93"/>
      <c r="AG4150" s="93"/>
      <c r="AH4150" s="93"/>
      <c r="AI4150" s="93"/>
      <c r="AJ4150" s="93"/>
    </row>
    <row r="4151" spans="30:36" ht="18">
      <c r="AD4151" s="93"/>
      <c r="AE4151" s="214"/>
      <c r="AF4151" s="93"/>
      <c r="AG4151" s="93"/>
      <c r="AH4151" s="93"/>
      <c r="AI4151" s="93"/>
      <c r="AJ4151" s="93"/>
    </row>
    <row r="4152" spans="30:36" ht="18">
      <c r="AD4152" s="93"/>
      <c r="AE4152" s="214"/>
      <c r="AF4152" s="93"/>
      <c r="AG4152" s="93"/>
      <c r="AH4152" s="93"/>
      <c r="AI4152" s="93"/>
      <c r="AJ4152" s="93"/>
    </row>
    <row r="4153" spans="30:36" ht="18">
      <c r="AD4153" s="93"/>
      <c r="AE4153" s="215"/>
      <c r="AF4153" s="93"/>
      <c r="AG4153" s="93"/>
      <c r="AH4153" s="93"/>
      <c r="AI4153" s="93"/>
      <c r="AJ4153" s="93"/>
    </row>
    <row r="4154" spans="30:36" ht="18">
      <c r="AD4154" s="93"/>
      <c r="AE4154" s="215"/>
      <c r="AF4154" s="93"/>
      <c r="AG4154" s="93"/>
      <c r="AH4154" s="93"/>
      <c r="AI4154" s="93"/>
      <c r="AJ4154" s="93"/>
    </row>
    <row r="4155" spans="30:36" ht="18">
      <c r="AD4155" s="93"/>
      <c r="AE4155" s="214"/>
      <c r="AF4155" s="93"/>
      <c r="AG4155" s="93"/>
      <c r="AH4155" s="93"/>
      <c r="AI4155" s="93"/>
      <c r="AJ4155" s="93"/>
    </row>
    <row r="4156" spans="30:36" ht="18">
      <c r="AD4156" s="93"/>
      <c r="AE4156" s="214"/>
      <c r="AF4156" s="93"/>
      <c r="AG4156" s="93"/>
      <c r="AH4156" s="93"/>
      <c r="AI4156" s="93"/>
      <c r="AJ4156" s="93"/>
    </row>
    <row r="4157" spans="30:36" ht="18">
      <c r="AD4157" s="93"/>
      <c r="AE4157" s="214"/>
      <c r="AF4157" s="93"/>
      <c r="AG4157" s="93"/>
      <c r="AH4157" s="93"/>
      <c r="AI4157" s="93"/>
      <c r="AJ4157" s="93"/>
    </row>
    <row r="4158" spans="30:36" ht="18">
      <c r="AD4158" s="93"/>
      <c r="AE4158" s="214"/>
      <c r="AF4158" s="93"/>
      <c r="AG4158" s="93"/>
      <c r="AH4158" s="93"/>
      <c r="AI4158" s="93"/>
      <c r="AJ4158" s="93"/>
    </row>
    <row r="4159" spans="30:36" ht="18">
      <c r="AD4159" s="93"/>
      <c r="AE4159" s="214"/>
      <c r="AF4159" s="93"/>
      <c r="AG4159" s="93"/>
      <c r="AH4159" s="93"/>
      <c r="AI4159" s="93"/>
      <c r="AJ4159" s="93"/>
    </row>
    <row r="4160" spans="30:36" ht="18">
      <c r="AD4160" s="93"/>
      <c r="AE4160" s="214"/>
      <c r="AF4160" s="93"/>
      <c r="AG4160" s="93"/>
      <c r="AH4160" s="93"/>
      <c r="AI4160" s="93"/>
      <c r="AJ4160" s="93"/>
    </row>
    <row r="4161" spans="30:36" ht="18">
      <c r="AD4161" s="93"/>
      <c r="AE4161" s="214"/>
      <c r="AF4161" s="93"/>
      <c r="AG4161" s="93"/>
      <c r="AH4161" s="93"/>
      <c r="AI4161" s="93"/>
      <c r="AJ4161" s="93"/>
    </row>
    <row r="4162" spans="30:36" ht="18">
      <c r="AD4162" s="93"/>
      <c r="AE4162" s="214"/>
      <c r="AF4162" s="93"/>
      <c r="AG4162" s="93"/>
      <c r="AH4162" s="93"/>
      <c r="AI4162" s="93"/>
      <c r="AJ4162" s="93"/>
    </row>
    <row r="4163" spans="30:36" ht="18">
      <c r="AD4163" s="93"/>
      <c r="AE4163" s="214"/>
      <c r="AF4163" s="93"/>
      <c r="AG4163" s="93"/>
      <c r="AH4163" s="93"/>
      <c r="AI4163" s="93"/>
      <c r="AJ4163" s="93"/>
    </row>
    <row r="4164" spans="30:36" ht="18">
      <c r="AD4164" s="93"/>
      <c r="AE4164" s="214"/>
      <c r="AF4164" s="93"/>
      <c r="AG4164" s="93"/>
      <c r="AH4164" s="93"/>
      <c r="AI4164" s="93"/>
      <c r="AJ4164" s="93"/>
    </row>
    <row r="4165" spans="30:36" ht="18">
      <c r="AD4165" s="93"/>
      <c r="AE4165" s="215"/>
      <c r="AF4165" s="93"/>
      <c r="AG4165" s="93"/>
      <c r="AH4165" s="93"/>
      <c r="AI4165" s="93"/>
      <c r="AJ4165" s="93"/>
    </row>
    <row r="4166" spans="30:36" ht="18">
      <c r="AD4166" s="93"/>
      <c r="AE4166" s="214"/>
      <c r="AF4166" s="93"/>
      <c r="AG4166" s="93"/>
      <c r="AH4166" s="93"/>
      <c r="AI4166" s="93"/>
      <c r="AJ4166" s="93"/>
    </row>
    <row r="4167" spans="30:36" ht="18">
      <c r="AD4167" s="93"/>
      <c r="AE4167" s="214"/>
      <c r="AF4167" s="93"/>
      <c r="AG4167" s="93"/>
      <c r="AH4167" s="93"/>
      <c r="AI4167" s="93"/>
      <c r="AJ4167" s="93"/>
    </row>
    <row r="4168" spans="30:36" ht="18">
      <c r="AD4168" s="93"/>
      <c r="AE4168" s="214"/>
      <c r="AF4168" s="93"/>
      <c r="AG4168" s="93"/>
      <c r="AH4168" s="93"/>
      <c r="AI4168" s="93"/>
      <c r="AJ4168" s="93"/>
    </row>
    <row r="4169" spans="30:36" ht="18">
      <c r="AD4169" s="93"/>
      <c r="AE4169" s="214"/>
      <c r="AF4169" s="93"/>
      <c r="AG4169" s="93"/>
      <c r="AH4169" s="93"/>
      <c r="AI4169" s="93"/>
      <c r="AJ4169" s="93"/>
    </row>
    <row r="4170" spans="30:36" ht="18">
      <c r="AD4170" s="93"/>
      <c r="AE4170" s="214"/>
      <c r="AF4170" s="93"/>
      <c r="AG4170" s="93"/>
      <c r="AH4170" s="93"/>
      <c r="AI4170" s="93"/>
      <c r="AJ4170" s="93"/>
    </row>
    <row r="4171" spans="30:36" ht="18">
      <c r="AD4171" s="93"/>
      <c r="AE4171" s="215"/>
      <c r="AF4171" s="93"/>
      <c r="AG4171" s="93"/>
      <c r="AH4171" s="93"/>
      <c r="AI4171" s="93"/>
      <c r="AJ4171" s="93"/>
    </row>
    <row r="4172" spans="30:36" ht="18">
      <c r="AD4172" s="93"/>
      <c r="AE4172" s="214"/>
      <c r="AF4172" s="93"/>
      <c r="AG4172" s="93"/>
      <c r="AH4172" s="93"/>
      <c r="AI4172" s="93"/>
      <c r="AJ4172" s="93"/>
    </row>
    <row r="4173" spans="30:36" ht="18">
      <c r="AD4173" s="93"/>
      <c r="AE4173" s="214"/>
      <c r="AF4173" s="93"/>
      <c r="AG4173" s="93"/>
      <c r="AH4173" s="93"/>
      <c r="AI4173" s="93"/>
      <c r="AJ4173" s="93"/>
    </row>
    <row r="4174" spans="30:36" ht="18">
      <c r="AD4174" s="93"/>
      <c r="AE4174" s="215"/>
      <c r="AF4174" s="93"/>
      <c r="AG4174" s="93"/>
      <c r="AH4174" s="93"/>
      <c r="AI4174" s="93"/>
      <c r="AJ4174" s="93"/>
    </row>
    <row r="4175" spans="30:36" ht="18">
      <c r="AD4175" s="93"/>
      <c r="AE4175" s="214"/>
      <c r="AF4175" s="93"/>
      <c r="AG4175" s="93"/>
      <c r="AH4175" s="93"/>
      <c r="AI4175" s="93"/>
      <c r="AJ4175" s="93"/>
    </row>
    <row r="4176" spans="30:36" ht="18">
      <c r="AD4176" s="93"/>
      <c r="AE4176" s="214"/>
      <c r="AF4176" s="93"/>
      <c r="AG4176" s="93"/>
      <c r="AH4176" s="93"/>
      <c r="AI4176" s="93"/>
      <c r="AJ4176" s="93"/>
    </row>
    <row r="4177" spans="30:36" ht="18">
      <c r="AD4177" s="93"/>
      <c r="AE4177" s="215"/>
      <c r="AF4177" s="93"/>
      <c r="AG4177" s="93"/>
      <c r="AH4177" s="93"/>
      <c r="AI4177" s="93"/>
      <c r="AJ4177" s="93"/>
    </row>
    <row r="4178" spans="30:36" ht="18">
      <c r="AD4178" s="93"/>
      <c r="AE4178" s="214"/>
      <c r="AF4178" s="93"/>
      <c r="AG4178" s="93"/>
      <c r="AH4178" s="93"/>
      <c r="AI4178" s="93"/>
      <c r="AJ4178" s="93"/>
    </row>
    <row r="4179" spans="30:36" ht="18">
      <c r="AD4179" s="93"/>
      <c r="AE4179" s="214"/>
      <c r="AF4179" s="93"/>
      <c r="AG4179" s="93"/>
      <c r="AH4179" s="93"/>
      <c r="AI4179" s="93"/>
      <c r="AJ4179" s="93"/>
    </row>
    <row r="4180" spans="30:36" ht="18">
      <c r="AD4180" s="93"/>
      <c r="AE4180" s="215"/>
      <c r="AF4180" s="93"/>
      <c r="AG4180" s="93"/>
      <c r="AH4180" s="93"/>
      <c r="AI4180" s="93"/>
      <c r="AJ4180" s="93"/>
    </row>
    <row r="4181" spans="30:36" ht="18">
      <c r="AD4181" s="93"/>
      <c r="AE4181" s="214"/>
      <c r="AF4181" s="93"/>
      <c r="AG4181" s="93"/>
      <c r="AH4181" s="93"/>
      <c r="AI4181" s="93"/>
      <c r="AJ4181" s="93"/>
    </row>
    <row r="4182" spans="30:36" ht="18">
      <c r="AD4182" s="93"/>
      <c r="AE4182" s="214"/>
      <c r="AF4182" s="93"/>
      <c r="AG4182" s="93"/>
      <c r="AH4182" s="93"/>
      <c r="AI4182" s="93"/>
      <c r="AJ4182" s="93"/>
    </row>
    <row r="4183" spans="30:36" ht="18">
      <c r="AD4183" s="93"/>
      <c r="AE4183" s="215"/>
      <c r="AF4183" s="93"/>
      <c r="AG4183" s="93"/>
      <c r="AH4183" s="93"/>
      <c r="AI4183" s="93"/>
      <c r="AJ4183" s="93"/>
    </row>
    <row r="4184" spans="30:36" ht="18">
      <c r="AD4184" s="93"/>
      <c r="AE4184" s="215"/>
      <c r="AF4184" s="93"/>
      <c r="AG4184" s="93"/>
      <c r="AH4184" s="93"/>
      <c r="AI4184" s="93"/>
      <c r="AJ4184" s="93"/>
    </row>
    <row r="4185" spans="30:36" ht="18">
      <c r="AD4185" s="93"/>
      <c r="AE4185" s="214"/>
      <c r="AF4185" s="93"/>
      <c r="AG4185" s="93"/>
      <c r="AH4185" s="93"/>
      <c r="AI4185" s="93"/>
      <c r="AJ4185" s="93"/>
    </row>
    <row r="4186" spans="30:36" ht="18">
      <c r="AD4186" s="93"/>
      <c r="AE4186" s="214"/>
      <c r="AF4186" s="93"/>
      <c r="AG4186" s="93"/>
      <c r="AH4186" s="93"/>
      <c r="AI4186" s="93"/>
      <c r="AJ4186" s="93"/>
    </row>
    <row r="4187" spans="30:36" ht="18">
      <c r="AD4187" s="93"/>
      <c r="AE4187" s="215"/>
      <c r="AF4187" s="93"/>
      <c r="AG4187" s="93"/>
      <c r="AH4187" s="93"/>
      <c r="AI4187" s="93"/>
      <c r="AJ4187" s="93"/>
    </row>
    <row r="4188" spans="30:36" ht="18">
      <c r="AD4188" s="93"/>
      <c r="AE4188" s="214"/>
      <c r="AF4188" s="93"/>
      <c r="AG4188" s="93"/>
      <c r="AH4188" s="93"/>
      <c r="AI4188" s="93"/>
      <c r="AJ4188" s="93"/>
    </row>
    <row r="4189" spans="30:36" ht="18">
      <c r="AD4189" s="93"/>
      <c r="AE4189" s="214"/>
      <c r="AF4189" s="93"/>
      <c r="AG4189" s="93"/>
      <c r="AH4189" s="93"/>
      <c r="AI4189" s="93"/>
      <c r="AJ4189" s="93"/>
    </row>
    <row r="4190" spans="30:36" ht="18">
      <c r="AD4190" s="93"/>
      <c r="AE4190" s="214"/>
      <c r="AF4190" s="93"/>
      <c r="AG4190" s="93"/>
      <c r="AH4190" s="93"/>
      <c r="AI4190" s="93"/>
      <c r="AJ4190" s="93"/>
    </row>
    <row r="4191" spans="30:36" ht="18">
      <c r="AD4191" s="93"/>
      <c r="AE4191" s="214"/>
      <c r="AF4191" s="93"/>
      <c r="AG4191" s="93"/>
      <c r="AH4191" s="93"/>
      <c r="AI4191" s="93"/>
      <c r="AJ4191" s="93"/>
    </row>
    <row r="4192" spans="30:36" ht="18">
      <c r="AD4192" s="93"/>
      <c r="AE4192" s="214"/>
      <c r="AF4192" s="93"/>
      <c r="AG4192" s="93"/>
      <c r="AH4192" s="93"/>
      <c r="AI4192" s="93"/>
      <c r="AJ4192" s="93"/>
    </row>
    <row r="4193" spans="30:36" ht="18">
      <c r="AD4193" s="93"/>
      <c r="AE4193" s="215"/>
      <c r="AF4193" s="93"/>
      <c r="AG4193" s="93"/>
      <c r="AH4193" s="93"/>
      <c r="AI4193" s="93"/>
      <c r="AJ4193" s="93"/>
    </row>
    <row r="4194" spans="30:36" ht="18">
      <c r="AD4194" s="93"/>
      <c r="AE4194" s="215"/>
      <c r="AF4194" s="93"/>
      <c r="AG4194" s="93"/>
      <c r="AH4194" s="93"/>
      <c r="AI4194" s="93"/>
      <c r="AJ4194" s="93"/>
    </row>
    <row r="4195" spans="30:36" ht="18">
      <c r="AD4195" s="93"/>
      <c r="AE4195" s="214"/>
      <c r="AF4195" s="93"/>
      <c r="AG4195" s="93"/>
      <c r="AH4195" s="93"/>
      <c r="AI4195" s="93"/>
      <c r="AJ4195" s="93"/>
    </row>
    <row r="4196" spans="30:36" ht="18">
      <c r="AD4196" s="93"/>
      <c r="AE4196" s="214"/>
      <c r="AF4196" s="93"/>
      <c r="AG4196" s="93"/>
      <c r="AH4196" s="93"/>
      <c r="AI4196" s="93"/>
      <c r="AJ4196" s="93"/>
    </row>
    <row r="4197" spans="30:36" ht="18">
      <c r="AD4197" s="93"/>
      <c r="AE4197" s="214"/>
      <c r="AF4197" s="93"/>
      <c r="AG4197" s="93"/>
      <c r="AH4197" s="93"/>
      <c r="AI4197" s="93"/>
      <c r="AJ4197" s="93"/>
    </row>
    <row r="4198" spans="30:36" ht="18">
      <c r="AD4198" s="93"/>
      <c r="AE4198" s="214"/>
      <c r="AF4198" s="93"/>
      <c r="AG4198" s="93"/>
      <c r="AH4198" s="93"/>
      <c r="AI4198" s="93"/>
      <c r="AJ4198" s="93"/>
    </row>
    <row r="4199" spans="30:36" ht="18">
      <c r="AD4199" s="93"/>
      <c r="AE4199" s="214"/>
      <c r="AF4199" s="93"/>
      <c r="AG4199" s="93"/>
      <c r="AH4199" s="93"/>
      <c r="AI4199" s="93"/>
      <c r="AJ4199" s="93"/>
    </row>
    <row r="4200" spans="30:36" ht="18">
      <c r="AD4200" s="93"/>
      <c r="AE4200" s="214"/>
      <c r="AF4200" s="93"/>
      <c r="AG4200" s="93"/>
      <c r="AH4200" s="93"/>
      <c r="AI4200" s="93"/>
      <c r="AJ4200" s="93"/>
    </row>
    <row r="4201" spans="30:36" ht="18">
      <c r="AD4201" s="93"/>
      <c r="AE4201" s="214"/>
      <c r="AF4201" s="93"/>
      <c r="AG4201" s="93"/>
      <c r="AH4201" s="93"/>
      <c r="AI4201" s="93"/>
      <c r="AJ4201" s="93"/>
    </row>
    <row r="4202" spans="30:36" ht="18">
      <c r="AD4202" s="93"/>
      <c r="AE4202" s="214"/>
      <c r="AF4202" s="93"/>
      <c r="AG4202" s="93"/>
      <c r="AH4202" s="93"/>
      <c r="AI4202" s="93"/>
      <c r="AJ4202" s="93"/>
    </row>
    <row r="4203" spans="30:36" ht="18">
      <c r="AD4203" s="93"/>
      <c r="AE4203" s="214"/>
      <c r="AF4203" s="93"/>
      <c r="AG4203" s="93"/>
      <c r="AH4203" s="93"/>
      <c r="AI4203" s="93"/>
      <c r="AJ4203" s="93"/>
    </row>
    <row r="4204" spans="30:36" ht="18">
      <c r="AD4204" s="93"/>
      <c r="AE4204" s="215"/>
      <c r="AF4204" s="93"/>
      <c r="AG4204" s="93"/>
      <c r="AH4204" s="93"/>
      <c r="AI4204" s="93"/>
      <c r="AJ4204" s="93"/>
    </row>
    <row r="4205" spans="30:36" ht="18">
      <c r="AD4205" s="93"/>
      <c r="AE4205" s="215"/>
      <c r="AF4205" s="93"/>
      <c r="AG4205" s="93"/>
      <c r="AH4205" s="93"/>
      <c r="AI4205" s="93"/>
      <c r="AJ4205" s="93"/>
    </row>
    <row r="4206" spans="30:36" ht="18">
      <c r="AD4206" s="93"/>
      <c r="AE4206" s="214"/>
      <c r="AF4206" s="93"/>
      <c r="AG4206" s="93"/>
      <c r="AH4206" s="93"/>
      <c r="AI4206" s="93"/>
      <c r="AJ4206" s="93"/>
    </row>
    <row r="4207" spans="30:36" ht="18">
      <c r="AD4207" s="93"/>
      <c r="AE4207" s="214"/>
      <c r="AF4207" s="93"/>
      <c r="AG4207" s="93"/>
      <c r="AH4207" s="93"/>
      <c r="AI4207" s="93"/>
      <c r="AJ4207" s="93"/>
    </row>
    <row r="4208" spans="30:36" ht="18">
      <c r="AD4208" s="93"/>
      <c r="AE4208" s="214"/>
      <c r="AF4208" s="93"/>
      <c r="AG4208" s="93"/>
      <c r="AH4208" s="93"/>
      <c r="AI4208" s="93"/>
      <c r="AJ4208" s="93"/>
    </row>
    <row r="4209" spans="30:36" ht="18">
      <c r="AD4209" s="93"/>
      <c r="AE4209" s="214"/>
      <c r="AF4209" s="93"/>
      <c r="AG4209" s="93"/>
      <c r="AH4209" s="93"/>
      <c r="AI4209" s="93"/>
      <c r="AJ4209" s="93"/>
    </row>
    <row r="4210" spans="30:36" ht="18">
      <c r="AD4210" s="93"/>
      <c r="AE4210" s="215"/>
      <c r="AF4210" s="93"/>
      <c r="AG4210" s="93"/>
      <c r="AH4210" s="93"/>
      <c r="AI4210" s="93"/>
      <c r="AJ4210" s="93"/>
    </row>
    <row r="4211" spans="30:36" ht="18">
      <c r="AD4211" s="93"/>
      <c r="AE4211" s="215"/>
      <c r="AF4211" s="93"/>
      <c r="AG4211" s="93"/>
      <c r="AH4211" s="93"/>
      <c r="AI4211" s="93"/>
      <c r="AJ4211" s="93"/>
    </row>
    <row r="4212" spans="30:36" ht="18">
      <c r="AD4212" s="93"/>
      <c r="AE4212" s="214"/>
      <c r="AF4212" s="93"/>
      <c r="AG4212" s="93"/>
      <c r="AH4212" s="93"/>
      <c r="AI4212" s="93"/>
      <c r="AJ4212" s="93"/>
    </row>
    <row r="4213" spans="30:36" ht="18">
      <c r="AD4213" s="93"/>
      <c r="AE4213" s="214"/>
      <c r="AF4213" s="93"/>
      <c r="AG4213" s="93"/>
      <c r="AH4213" s="93"/>
      <c r="AI4213" s="93"/>
      <c r="AJ4213" s="93"/>
    </row>
    <row r="4214" spans="30:36" ht="18">
      <c r="AD4214" s="93"/>
      <c r="AE4214" s="214"/>
      <c r="AF4214" s="93"/>
      <c r="AG4214" s="93"/>
      <c r="AH4214" s="93"/>
      <c r="AI4214" s="93"/>
      <c r="AJ4214" s="93"/>
    </row>
    <row r="4215" spans="30:36" ht="18">
      <c r="AD4215" s="93"/>
      <c r="AE4215" s="215"/>
      <c r="AF4215" s="93"/>
      <c r="AG4215" s="93"/>
      <c r="AH4215" s="93"/>
      <c r="AI4215" s="93"/>
      <c r="AJ4215" s="93"/>
    </row>
    <row r="4216" spans="30:36" ht="18">
      <c r="AD4216" s="93"/>
      <c r="AE4216" s="214"/>
      <c r="AF4216" s="93"/>
      <c r="AG4216" s="93"/>
      <c r="AH4216" s="93"/>
      <c r="AI4216" s="93"/>
      <c r="AJ4216" s="93"/>
    </row>
    <row r="4217" spans="30:36" ht="18">
      <c r="AD4217" s="93"/>
      <c r="AE4217" s="214"/>
      <c r="AF4217" s="93"/>
      <c r="AG4217" s="93"/>
      <c r="AH4217" s="93"/>
      <c r="AI4217" s="93"/>
      <c r="AJ4217" s="93"/>
    </row>
    <row r="4218" spans="30:36" ht="18">
      <c r="AD4218" s="93"/>
      <c r="AE4218" s="214"/>
      <c r="AF4218" s="93"/>
      <c r="AG4218" s="93"/>
      <c r="AH4218" s="93"/>
      <c r="AI4218" s="93"/>
      <c r="AJ4218" s="93"/>
    </row>
    <row r="4219" spans="30:36" ht="18">
      <c r="AD4219" s="93"/>
      <c r="AE4219" s="215"/>
      <c r="AF4219" s="93"/>
      <c r="AG4219" s="93"/>
      <c r="AH4219" s="93"/>
      <c r="AI4219" s="93"/>
      <c r="AJ4219" s="93"/>
    </row>
    <row r="4220" spans="30:36" ht="18">
      <c r="AD4220" s="93"/>
      <c r="AE4220" s="215"/>
      <c r="AF4220" s="93"/>
      <c r="AG4220" s="93"/>
      <c r="AH4220" s="93"/>
      <c r="AI4220" s="93"/>
      <c r="AJ4220" s="93"/>
    </row>
    <row r="4221" spans="30:36" ht="18">
      <c r="AD4221" s="93"/>
      <c r="AE4221" s="214"/>
      <c r="AF4221" s="93"/>
      <c r="AG4221" s="93"/>
      <c r="AH4221" s="93"/>
      <c r="AI4221" s="93"/>
      <c r="AJ4221" s="93"/>
    </row>
    <row r="4222" spans="30:36" ht="18">
      <c r="AD4222" s="93"/>
      <c r="AE4222" s="214"/>
      <c r="AF4222" s="93"/>
      <c r="AG4222" s="93"/>
      <c r="AH4222" s="93"/>
      <c r="AI4222" s="93"/>
      <c r="AJ4222" s="93"/>
    </row>
    <row r="4223" spans="30:36" ht="18">
      <c r="AD4223" s="93"/>
      <c r="AE4223" s="214"/>
      <c r="AF4223" s="93"/>
      <c r="AG4223" s="93"/>
      <c r="AH4223" s="93"/>
      <c r="AI4223" s="93"/>
      <c r="AJ4223" s="93"/>
    </row>
    <row r="4224" spans="30:36" ht="18">
      <c r="AD4224" s="93"/>
      <c r="AE4224" s="214"/>
      <c r="AF4224" s="93"/>
      <c r="AG4224" s="93"/>
      <c r="AH4224" s="93"/>
      <c r="AI4224" s="93"/>
      <c r="AJ4224" s="93"/>
    </row>
    <row r="4225" spans="30:36" ht="18">
      <c r="AD4225" s="93"/>
      <c r="AE4225" s="215"/>
      <c r="AF4225" s="93"/>
      <c r="AG4225" s="93"/>
      <c r="AH4225" s="93"/>
      <c r="AI4225" s="93"/>
      <c r="AJ4225" s="93"/>
    </row>
    <row r="4226" spans="30:36" ht="18">
      <c r="AD4226" s="93"/>
      <c r="AE4226" s="215"/>
      <c r="AF4226" s="93"/>
      <c r="AG4226" s="93"/>
      <c r="AH4226" s="93"/>
      <c r="AI4226" s="93"/>
      <c r="AJ4226" s="93"/>
    </row>
    <row r="4227" spans="30:36" ht="18">
      <c r="AD4227" s="93"/>
      <c r="AE4227" s="214"/>
      <c r="AF4227" s="93"/>
      <c r="AG4227" s="93"/>
      <c r="AH4227" s="93"/>
      <c r="AI4227" s="93"/>
      <c r="AJ4227" s="93"/>
    </row>
    <row r="4228" spans="30:36" ht="18">
      <c r="AD4228" s="93"/>
      <c r="AE4228" s="214"/>
      <c r="AF4228" s="93"/>
      <c r="AG4228" s="93"/>
      <c r="AH4228" s="93"/>
      <c r="AI4228" s="93"/>
      <c r="AJ4228" s="93"/>
    </row>
    <row r="4229" spans="30:36" ht="18">
      <c r="AD4229" s="93"/>
      <c r="AE4229" s="214"/>
      <c r="AF4229" s="93"/>
      <c r="AG4229" s="93"/>
      <c r="AH4229" s="93"/>
      <c r="AI4229" s="93"/>
      <c r="AJ4229" s="93"/>
    </row>
    <row r="4230" spans="30:36" ht="18">
      <c r="AD4230" s="93"/>
      <c r="AE4230" s="214"/>
      <c r="AF4230" s="93"/>
      <c r="AG4230" s="93"/>
      <c r="AH4230" s="93"/>
      <c r="AI4230" s="93"/>
      <c r="AJ4230" s="93"/>
    </row>
    <row r="4231" spans="30:36" ht="18">
      <c r="AD4231" s="93"/>
      <c r="AE4231" s="214"/>
      <c r="AF4231" s="93"/>
      <c r="AG4231" s="93"/>
      <c r="AH4231" s="93"/>
      <c r="AI4231" s="93"/>
      <c r="AJ4231" s="93"/>
    </row>
    <row r="4232" spans="30:36" ht="18">
      <c r="AD4232" s="93"/>
      <c r="AE4232" s="215"/>
      <c r="AF4232" s="93"/>
      <c r="AG4232" s="93"/>
      <c r="AH4232" s="93"/>
      <c r="AI4232" s="93"/>
      <c r="AJ4232" s="93"/>
    </row>
    <row r="4233" spans="30:36" ht="18">
      <c r="AD4233" s="93"/>
      <c r="AE4233" s="215"/>
      <c r="AF4233" s="93"/>
      <c r="AG4233" s="93"/>
      <c r="AH4233" s="93"/>
      <c r="AI4233" s="93"/>
      <c r="AJ4233" s="93"/>
    </row>
    <row r="4234" spans="30:36" ht="18">
      <c r="AD4234" s="93"/>
      <c r="AE4234" s="215"/>
      <c r="AF4234" s="93"/>
      <c r="AG4234" s="93"/>
      <c r="AH4234" s="93"/>
      <c r="AI4234" s="93"/>
      <c r="AJ4234" s="93"/>
    </row>
    <row r="4235" spans="30:36" ht="18">
      <c r="AD4235" s="93"/>
      <c r="AE4235" s="214"/>
      <c r="AF4235" s="93"/>
      <c r="AG4235" s="93"/>
      <c r="AH4235" s="93"/>
      <c r="AI4235" s="93"/>
      <c r="AJ4235" s="93"/>
    </row>
    <row r="4236" spans="30:36" ht="18">
      <c r="AD4236" s="93"/>
      <c r="AE4236" s="214"/>
      <c r="AF4236" s="93"/>
      <c r="AG4236" s="93"/>
      <c r="AH4236" s="93"/>
      <c r="AI4236" s="93"/>
      <c r="AJ4236" s="93"/>
    </row>
    <row r="4237" spans="30:36" ht="18">
      <c r="AD4237" s="93"/>
      <c r="AE4237" s="215"/>
      <c r="AF4237" s="93"/>
      <c r="AG4237" s="93"/>
      <c r="AH4237" s="93"/>
      <c r="AI4237" s="93"/>
      <c r="AJ4237" s="93"/>
    </row>
    <row r="4238" spans="30:36" ht="18">
      <c r="AD4238" s="93"/>
      <c r="AE4238" s="214"/>
      <c r="AF4238" s="93"/>
      <c r="AG4238" s="93"/>
      <c r="AH4238" s="93"/>
      <c r="AI4238" s="93"/>
      <c r="AJ4238" s="93"/>
    </row>
    <row r="4239" spans="30:36" ht="18">
      <c r="AD4239" s="93"/>
      <c r="AE4239" s="214"/>
      <c r="AF4239" s="93"/>
      <c r="AG4239" s="93"/>
      <c r="AH4239" s="93"/>
      <c r="AI4239" s="93"/>
      <c r="AJ4239" s="93"/>
    </row>
    <row r="4240" spans="30:36" ht="18">
      <c r="AD4240" s="93"/>
      <c r="AE4240" s="214"/>
      <c r="AF4240" s="93"/>
      <c r="AG4240" s="93"/>
      <c r="AH4240" s="93"/>
      <c r="AI4240" s="93"/>
      <c r="AJ4240" s="93"/>
    </row>
    <row r="4241" spans="30:36" ht="18">
      <c r="AD4241" s="93"/>
      <c r="AE4241" s="214"/>
      <c r="AF4241" s="93"/>
      <c r="AG4241" s="93"/>
      <c r="AH4241" s="93"/>
      <c r="AI4241" s="93"/>
      <c r="AJ4241" s="93"/>
    </row>
    <row r="4242" spans="30:36" ht="18">
      <c r="AD4242" s="93"/>
      <c r="AE4242" s="214"/>
      <c r="AF4242" s="93"/>
      <c r="AG4242" s="93"/>
      <c r="AH4242" s="93"/>
      <c r="AI4242" s="93"/>
      <c r="AJ4242" s="93"/>
    </row>
    <row r="4243" spans="30:36" ht="18">
      <c r="AD4243" s="93"/>
      <c r="AE4243" s="214"/>
      <c r="AF4243" s="93"/>
      <c r="AG4243" s="93"/>
      <c r="AH4243" s="93"/>
      <c r="AI4243" s="93"/>
      <c r="AJ4243" s="93"/>
    </row>
    <row r="4244" spans="30:36" ht="18">
      <c r="AD4244" s="93"/>
      <c r="AE4244" s="214"/>
      <c r="AF4244" s="93"/>
      <c r="AG4244" s="93"/>
      <c r="AH4244" s="93"/>
      <c r="AI4244" s="93"/>
      <c r="AJ4244" s="93"/>
    </row>
    <row r="4245" spans="30:36" ht="18">
      <c r="AD4245" s="93"/>
      <c r="AE4245" s="214"/>
      <c r="AF4245" s="93"/>
      <c r="AG4245" s="93"/>
      <c r="AH4245" s="93"/>
      <c r="AI4245" s="93"/>
      <c r="AJ4245" s="93"/>
    </row>
    <row r="4246" spans="30:36" ht="18">
      <c r="AD4246" s="93"/>
      <c r="AE4246" s="214"/>
      <c r="AF4246" s="93"/>
      <c r="AG4246" s="93"/>
      <c r="AH4246" s="93"/>
      <c r="AI4246" s="93"/>
      <c r="AJ4246" s="93"/>
    </row>
    <row r="4247" spans="30:36" ht="18">
      <c r="AD4247" s="93"/>
      <c r="AE4247" s="214"/>
      <c r="AF4247" s="93"/>
      <c r="AG4247" s="93"/>
      <c r="AH4247" s="93"/>
      <c r="AI4247" s="93"/>
      <c r="AJ4247" s="93"/>
    </row>
    <row r="4248" spans="30:36" ht="18">
      <c r="AD4248" s="93"/>
      <c r="AE4248" s="214"/>
      <c r="AF4248" s="93"/>
      <c r="AG4248" s="93"/>
      <c r="AH4248" s="93"/>
      <c r="AI4248" s="93"/>
      <c r="AJ4248" s="93"/>
    </row>
    <row r="4249" spans="30:36" ht="18">
      <c r="AD4249" s="93"/>
      <c r="AE4249" s="214"/>
      <c r="AF4249" s="93"/>
      <c r="AG4249" s="93"/>
      <c r="AH4249" s="93"/>
      <c r="AI4249" s="93"/>
      <c r="AJ4249" s="93"/>
    </row>
    <row r="4250" spans="30:36" ht="18">
      <c r="AD4250" s="93"/>
      <c r="AE4250" s="214"/>
      <c r="AF4250" s="93"/>
      <c r="AG4250" s="93"/>
      <c r="AH4250" s="93"/>
      <c r="AI4250" s="93"/>
      <c r="AJ4250" s="93"/>
    </row>
    <row r="4251" spans="30:36" ht="18">
      <c r="AD4251" s="93"/>
      <c r="AE4251" s="214"/>
      <c r="AF4251" s="93"/>
      <c r="AG4251" s="93"/>
      <c r="AH4251" s="93"/>
      <c r="AI4251" s="93"/>
      <c r="AJ4251" s="93"/>
    </row>
    <row r="4252" spans="30:36" ht="18">
      <c r="AD4252" s="93"/>
      <c r="AE4252" s="214"/>
      <c r="AF4252" s="93"/>
      <c r="AG4252" s="93"/>
      <c r="AH4252" s="93"/>
      <c r="AI4252" s="93"/>
      <c r="AJ4252" s="93"/>
    </row>
    <row r="4253" spans="30:36" ht="18">
      <c r="AD4253" s="93"/>
      <c r="AE4253" s="214"/>
      <c r="AF4253" s="93"/>
      <c r="AG4253" s="93"/>
      <c r="AH4253" s="93"/>
      <c r="AI4253" s="93"/>
      <c r="AJ4253" s="93"/>
    </row>
    <row r="4254" spans="30:36" ht="18">
      <c r="AD4254" s="93"/>
      <c r="AE4254" s="214"/>
      <c r="AF4254" s="93"/>
      <c r="AG4254" s="93"/>
      <c r="AH4254" s="93"/>
      <c r="AI4254" s="93"/>
      <c r="AJ4254" s="93"/>
    </row>
    <row r="4255" spans="30:36" ht="18">
      <c r="AD4255" s="93"/>
      <c r="AE4255" s="214"/>
      <c r="AF4255" s="93"/>
      <c r="AG4255" s="93"/>
      <c r="AH4255" s="93"/>
      <c r="AI4255" s="93"/>
      <c r="AJ4255" s="93"/>
    </row>
    <row r="4256" spans="30:36" ht="18">
      <c r="AD4256" s="93"/>
      <c r="AE4256" s="214"/>
      <c r="AF4256" s="93"/>
      <c r="AG4256" s="93"/>
      <c r="AH4256" s="93"/>
      <c r="AI4256" s="93"/>
      <c r="AJ4256" s="93"/>
    </row>
    <row r="4257" spans="30:36" ht="18">
      <c r="AD4257" s="93"/>
      <c r="AE4257" s="214"/>
      <c r="AF4257" s="93"/>
      <c r="AG4257" s="93"/>
      <c r="AH4257" s="93"/>
      <c r="AI4257" s="93"/>
      <c r="AJ4257" s="93"/>
    </row>
    <row r="4258" spans="30:36" ht="18">
      <c r="AD4258" s="93"/>
      <c r="AE4258" s="214"/>
      <c r="AF4258" s="93"/>
      <c r="AG4258" s="93"/>
      <c r="AH4258" s="93"/>
      <c r="AI4258" s="93"/>
      <c r="AJ4258" s="93"/>
    </row>
    <row r="4259" spans="30:36" ht="18">
      <c r="AD4259" s="93"/>
      <c r="AE4259" s="214"/>
      <c r="AF4259" s="93"/>
      <c r="AG4259" s="93"/>
      <c r="AH4259" s="93"/>
      <c r="AI4259" s="93"/>
      <c r="AJ4259" s="93"/>
    </row>
    <row r="4260" spans="30:36" ht="18">
      <c r="AD4260" s="93"/>
      <c r="AE4260" s="214"/>
      <c r="AF4260" s="93"/>
      <c r="AG4260" s="93"/>
      <c r="AH4260" s="93"/>
      <c r="AI4260" s="93"/>
      <c r="AJ4260" s="93"/>
    </row>
    <row r="4261" spans="30:36" ht="18">
      <c r="AD4261" s="93"/>
      <c r="AE4261" s="215"/>
      <c r="AF4261" s="93"/>
      <c r="AG4261" s="93"/>
      <c r="AH4261" s="93"/>
      <c r="AI4261" s="93"/>
      <c r="AJ4261" s="93"/>
    </row>
    <row r="4262" spans="30:36" ht="18">
      <c r="AD4262" s="93"/>
      <c r="AE4262" s="214"/>
      <c r="AF4262" s="93"/>
      <c r="AG4262" s="93"/>
      <c r="AH4262" s="93"/>
      <c r="AI4262" s="93"/>
      <c r="AJ4262" s="93"/>
    </row>
    <row r="4263" spans="30:36" ht="18">
      <c r="AD4263" s="93"/>
      <c r="AE4263" s="214"/>
      <c r="AF4263" s="93"/>
      <c r="AG4263" s="93"/>
      <c r="AH4263" s="93"/>
      <c r="AI4263" s="93"/>
      <c r="AJ4263" s="93"/>
    </row>
    <row r="4264" spans="30:36" ht="18">
      <c r="AD4264" s="93"/>
      <c r="AE4264" s="214"/>
      <c r="AF4264" s="93"/>
      <c r="AG4264" s="93"/>
      <c r="AH4264" s="93"/>
      <c r="AI4264" s="93"/>
      <c r="AJ4264" s="93"/>
    </row>
    <row r="4265" spans="30:36" ht="18">
      <c r="AD4265" s="93"/>
      <c r="AE4265" s="215"/>
      <c r="AF4265" s="93"/>
      <c r="AG4265" s="93"/>
      <c r="AH4265" s="93"/>
      <c r="AI4265" s="93"/>
      <c r="AJ4265" s="93"/>
    </row>
    <row r="4266" spans="30:36" ht="18">
      <c r="AD4266" s="93"/>
      <c r="AE4266" s="214"/>
      <c r="AF4266" s="93"/>
      <c r="AG4266" s="93"/>
      <c r="AH4266" s="93"/>
      <c r="AI4266" s="93"/>
      <c r="AJ4266" s="93"/>
    </row>
    <row r="4267" spans="30:36" ht="18">
      <c r="AD4267" s="93"/>
      <c r="AE4267" s="214"/>
      <c r="AF4267" s="93"/>
      <c r="AG4267" s="93"/>
      <c r="AH4267" s="93"/>
      <c r="AI4267" s="93"/>
      <c r="AJ4267" s="93"/>
    </row>
    <row r="4268" spans="30:36" ht="18">
      <c r="AD4268" s="93"/>
      <c r="AE4268" s="214"/>
      <c r="AF4268" s="93"/>
      <c r="AG4268" s="93"/>
      <c r="AH4268" s="93"/>
      <c r="AI4268" s="93"/>
      <c r="AJ4268" s="93"/>
    </row>
    <row r="4269" spans="30:36" ht="18">
      <c r="AD4269" s="93"/>
      <c r="AE4269" s="214"/>
      <c r="AF4269" s="93"/>
      <c r="AG4269" s="93"/>
      <c r="AH4269" s="93"/>
      <c r="AI4269" s="93"/>
      <c r="AJ4269" s="93"/>
    </row>
    <row r="4270" spans="30:36" ht="18">
      <c r="AD4270" s="93"/>
      <c r="AE4270" s="214"/>
      <c r="AF4270" s="93"/>
      <c r="AG4270" s="93"/>
      <c r="AH4270" s="93"/>
      <c r="AI4270" s="93"/>
      <c r="AJ4270" s="93"/>
    </row>
    <row r="4271" spans="30:36" ht="18">
      <c r="AD4271" s="93"/>
      <c r="AE4271" s="214"/>
      <c r="AF4271" s="93"/>
      <c r="AG4271" s="93"/>
      <c r="AH4271" s="93"/>
      <c r="AI4271" s="93"/>
      <c r="AJ4271" s="93"/>
    </row>
    <row r="4272" spans="30:36" ht="18">
      <c r="AD4272" s="93"/>
      <c r="AE4272" s="214"/>
      <c r="AF4272" s="93"/>
      <c r="AG4272" s="93"/>
      <c r="AH4272" s="93"/>
      <c r="AI4272" s="93"/>
      <c r="AJ4272" s="93"/>
    </row>
    <row r="4273" spans="30:36" ht="18">
      <c r="AD4273" s="93"/>
      <c r="AE4273" s="214"/>
      <c r="AF4273" s="93"/>
      <c r="AG4273" s="93"/>
      <c r="AH4273" s="93"/>
      <c r="AI4273" s="93"/>
      <c r="AJ4273" s="93"/>
    </row>
    <row r="4274" spans="30:36" ht="18">
      <c r="AD4274" s="93"/>
      <c r="AE4274" s="214"/>
      <c r="AF4274" s="93"/>
      <c r="AG4274" s="93"/>
      <c r="AH4274" s="93"/>
      <c r="AI4274" s="93"/>
      <c r="AJ4274" s="93"/>
    </row>
    <row r="4275" spans="30:36" ht="18">
      <c r="AD4275" s="93"/>
      <c r="AE4275" s="214"/>
      <c r="AF4275" s="93"/>
      <c r="AG4275" s="93"/>
      <c r="AH4275" s="93"/>
      <c r="AI4275" s="93"/>
      <c r="AJ4275" s="93"/>
    </row>
    <row r="4276" spans="30:36" ht="18">
      <c r="AD4276" s="93"/>
      <c r="AE4276" s="214"/>
      <c r="AF4276" s="93"/>
      <c r="AG4276" s="93"/>
      <c r="AH4276" s="93"/>
      <c r="AI4276" s="93"/>
      <c r="AJ4276" s="93"/>
    </row>
    <row r="4277" spans="30:36" ht="18">
      <c r="AD4277" s="93"/>
      <c r="AE4277" s="214"/>
      <c r="AF4277" s="93"/>
      <c r="AG4277" s="93"/>
      <c r="AH4277" s="93"/>
      <c r="AI4277" s="93"/>
      <c r="AJ4277" s="93"/>
    </row>
    <row r="4278" spans="30:36" ht="18">
      <c r="AD4278" s="93"/>
      <c r="AE4278" s="214"/>
      <c r="AF4278" s="93"/>
      <c r="AG4278" s="93"/>
      <c r="AH4278" s="93"/>
      <c r="AI4278" s="93"/>
      <c r="AJ4278" s="93"/>
    </row>
    <row r="4279" spans="30:36" ht="18">
      <c r="AD4279" s="93"/>
      <c r="AE4279" s="214"/>
      <c r="AF4279" s="93"/>
      <c r="AG4279" s="93"/>
      <c r="AH4279" s="93"/>
      <c r="AI4279" s="93"/>
      <c r="AJ4279" s="93"/>
    </row>
    <row r="4280" spans="30:36" ht="18">
      <c r="AD4280" s="93"/>
      <c r="AE4280" s="214"/>
      <c r="AF4280" s="93"/>
      <c r="AG4280" s="93"/>
      <c r="AH4280" s="93"/>
      <c r="AI4280" s="93"/>
      <c r="AJ4280" s="93"/>
    </row>
    <row r="4281" spans="30:36" ht="18">
      <c r="AD4281" s="93"/>
      <c r="AE4281" s="214"/>
      <c r="AF4281" s="93"/>
      <c r="AG4281" s="93"/>
      <c r="AH4281" s="93"/>
      <c r="AI4281" s="93"/>
      <c r="AJ4281" s="93"/>
    </row>
    <row r="4282" spans="30:36" ht="18">
      <c r="AD4282" s="93"/>
      <c r="AE4282" s="214"/>
      <c r="AF4282" s="93"/>
      <c r="AG4282" s="93"/>
      <c r="AH4282" s="93"/>
      <c r="AI4282" s="93"/>
      <c r="AJ4282" s="93"/>
    </row>
    <row r="4283" spans="30:36" ht="18">
      <c r="AD4283" s="93"/>
      <c r="AE4283" s="214"/>
      <c r="AF4283" s="93"/>
      <c r="AG4283" s="93"/>
      <c r="AH4283" s="93"/>
      <c r="AI4283" s="93"/>
      <c r="AJ4283" s="93"/>
    </row>
    <row r="4284" spans="30:36" ht="18">
      <c r="AD4284" s="93"/>
      <c r="AE4284" s="214"/>
      <c r="AF4284" s="93"/>
      <c r="AG4284" s="93"/>
      <c r="AH4284" s="93"/>
      <c r="AI4284" s="93"/>
      <c r="AJ4284" s="93"/>
    </row>
    <row r="4285" spans="30:36" ht="18">
      <c r="AD4285" s="93"/>
      <c r="AE4285" s="214"/>
      <c r="AF4285" s="93"/>
      <c r="AG4285" s="93"/>
      <c r="AH4285" s="93"/>
      <c r="AI4285" s="93"/>
      <c r="AJ4285" s="93"/>
    </row>
    <row r="4286" spans="30:36" ht="18">
      <c r="AD4286" s="93"/>
      <c r="AE4286" s="214"/>
      <c r="AF4286" s="93"/>
      <c r="AG4286" s="93"/>
      <c r="AH4286" s="93"/>
      <c r="AI4286" s="93"/>
      <c r="AJ4286" s="93"/>
    </row>
    <row r="4287" spans="30:36" ht="18">
      <c r="AD4287" s="93"/>
      <c r="AE4287" s="214"/>
      <c r="AF4287" s="93"/>
      <c r="AG4287" s="93"/>
      <c r="AH4287" s="93"/>
      <c r="AI4287" s="93"/>
      <c r="AJ4287" s="93"/>
    </row>
    <row r="4288" spans="30:36" ht="18">
      <c r="AD4288" s="93"/>
      <c r="AE4288" s="214"/>
      <c r="AF4288" s="93"/>
      <c r="AG4288" s="93"/>
      <c r="AH4288" s="93"/>
      <c r="AI4288" s="93"/>
      <c r="AJ4288" s="93"/>
    </row>
    <row r="4289" spans="30:36" ht="18">
      <c r="AD4289" s="93"/>
      <c r="AE4289" s="214"/>
      <c r="AF4289" s="93"/>
      <c r="AG4289" s="93"/>
      <c r="AH4289" s="93"/>
      <c r="AI4289" s="93"/>
      <c r="AJ4289" s="93"/>
    </row>
    <row r="4290" spans="30:36" ht="18">
      <c r="AD4290" s="93"/>
      <c r="AE4290" s="214"/>
      <c r="AF4290" s="93"/>
      <c r="AG4290" s="93"/>
      <c r="AH4290" s="93"/>
      <c r="AI4290" s="93"/>
      <c r="AJ4290" s="93"/>
    </row>
    <row r="4291" spans="30:36" ht="18">
      <c r="AD4291" s="93"/>
      <c r="AE4291" s="214"/>
      <c r="AF4291" s="93"/>
      <c r="AG4291" s="93"/>
      <c r="AH4291" s="93"/>
      <c r="AI4291" s="93"/>
      <c r="AJ4291" s="93"/>
    </row>
    <row r="4292" spans="30:36" ht="18">
      <c r="AD4292" s="93"/>
      <c r="AE4292" s="214"/>
      <c r="AF4292" s="93"/>
      <c r="AG4292" s="93"/>
      <c r="AH4292" s="93"/>
      <c r="AI4292" s="93"/>
      <c r="AJ4292" s="93"/>
    </row>
    <row r="4293" spans="30:36" ht="18">
      <c r="AD4293" s="93"/>
      <c r="AE4293" s="214"/>
      <c r="AF4293" s="93"/>
      <c r="AG4293" s="93"/>
      <c r="AH4293" s="93"/>
      <c r="AI4293" s="93"/>
      <c r="AJ4293" s="93"/>
    </row>
    <row r="4294" spans="30:36" ht="18">
      <c r="AD4294" s="93"/>
      <c r="AE4294" s="214"/>
      <c r="AF4294" s="93"/>
      <c r="AG4294" s="93"/>
      <c r="AH4294" s="93"/>
      <c r="AI4294" s="93"/>
      <c r="AJ4294" s="93"/>
    </row>
    <row r="4295" spans="30:36" ht="18">
      <c r="AD4295" s="93"/>
      <c r="AE4295" s="214"/>
      <c r="AF4295" s="93"/>
      <c r="AG4295" s="93"/>
      <c r="AH4295" s="93"/>
      <c r="AI4295" s="93"/>
      <c r="AJ4295" s="93"/>
    </row>
    <row r="4296" spans="30:36" ht="18">
      <c r="AD4296" s="93"/>
      <c r="AE4296" s="214"/>
      <c r="AF4296" s="93"/>
      <c r="AG4296" s="93"/>
      <c r="AH4296" s="93"/>
      <c r="AI4296" s="93"/>
      <c r="AJ4296" s="93"/>
    </row>
    <row r="4297" spans="30:36" ht="18">
      <c r="AD4297" s="93"/>
      <c r="AE4297" s="214"/>
      <c r="AF4297" s="93"/>
      <c r="AG4297" s="93"/>
      <c r="AH4297" s="93"/>
      <c r="AI4297" s="93"/>
      <c r="AJ4297" s="93"/>
    </row>
    <row r="4298" spans="30:36" ht="18">
      <c r="AD4298" s="93"/>
      <c r="AE4298" s="215"/>
      <c r="AF4298" s="93"/>
      <c r="AG4298" s="93"/>
      <c r="AH4298" s="93"/>
      <c r="AI4298" s="93"/>
      <c r="AJ4298" s="93"/>
    </row>
    <row r="4299" spans="30:36" ht="18">
      <c r="AD4299" s="93"/>
      <c r="AE4299" s="214"/>
      <c r="AF4299" s="93"/>
      <c r="AG4299" s="93"/>
      <c r="AH4299" s="93"/>
      <c r="AI4299" s="93"/>
      <c r="AJ4299" s="93"/>
    </row>
    <row r="4300" spans="30:36" ht="18">
      <c r="AD4300" s="93"/>
      <c r="AE4300" s="214"/>
      <c r="AF4300" s="93"/>
      <c r="AG4300" s="93"/>
      <c r="AH4300" s="93"/>
      <c r="AI4300" s="93"/>
      <c r="AJ4300" s="93"/>
    </row>
    <row r="4301" spans="30:36" ht="18">
      <c r="AD4301" s="93"/>
      <c r="AE4301" s="214"/>
      <c r="AF4301" s="93"/>
      <c r="AG4301" s="93"/>
      <c r="AH4301" s="93"/>
      <c r="AI4301" s="93"/>
      <c r="AJ4301" s="93"/>
    </row>
    <row r="4302" spans="30:36" ht="18">
      <c r="AD4302" s="93"/>
      <c r="AE4302" s="215"/>
      <c r="AF4302" s="93"/>
      <c r="AG4302" s="93"/>
      <c r="AH4302" s="93"/>
      <c r="AI4302" s="93"/>
      <c r="AJ4302" s="93"/>
    </row>
    <row r="4303" spans="30:36" ht="18">
      <c r="AD4303" s="93"/>
      <c r="AE4303" s="214"/>
      <c r="AF4303" s="93"/>
      <c r="AG4303" s="93"/>
      <c r="AH4303" s="93"/>
      <c r="AI4303" s="93"/>
      <c r="AJ4303" s="93"/>
    </row>
    <row r="4304" spans="30:36" ht="18">
      <c r="AD4304" s="93"/>
      <c r="AE4304" s="214"/>
      <c r="AF4304" s="93"/>
      <c r="AG4304" s="93"/>
      <c r="AH4304" s="93"/>
      <c r="AI4304" s="93"/>
      <c r="AJ4304" s="93"/>
    </row>
    <row r="4305" spans="30:36" ht="18">
      <c r="AD4305" s="93"/>
      <c r="AE4305" s="214"/>
      <c r="AF4305" s="93"/>
      <c r="AG4305" s="93"/>
      <c r="AH4305" s="93"/>
      <c r="AI4305" s="93"/>
      <c r="AJ4305" s="93"/>
    </row>
    <row r="4306" spans="30:36" ht="18">
      <c r="AD4306" s="93"/>
      <c r="AE4306" s="214"/>
      <c r="AF4306" s="93"/>
      <c r="AG4306" s="93"/>
      <c r="AH4306" s="93"/>
      <c r="AI4306" s="93"/>
      <c r="AJ4306" s="93"/>
    </row>
    <row r="4307" spans="30:36" ht="18">
      <c r="AD4307" s="93"/>
      <c r="AE4307" s="214"/>
      <c r="AF4307" s="93"/>
      <c r="AG4307" s="93"/>
      <c r="AH4307" s="93"/>
      <c r="AI4307" s="93"/>
      <c r="AJ4307" s="93"/>
    </row>
    <row r="4308" spans="30:36" ht="18">
      <c r="AD4308" s="93"/>
      <c r="AE4308" s="215"/>
      <c r="AF4308" s="93"/>
      <c r="AG4308" s="93"/>
      <c r="AH4308" s="93"/>
      <c r="AI4308" s="93"/>
      <c r="AJ4308" s="93"/>
    </row>
    <row r="4309" spans="30:36" ht="18">
      <c r="AD4309" s="93"/>
      <c r="AE4309" s="214"/>
      <c r="AF4309" s="93"/>
      <c r="AG4309" s="93"/>
      <c r="AH4309" s="93"/>
      <c r="AI4309" s="93"/>
      <c r="AJ4309" s="93"/>
    </row>
    <row r="4310" spans="30:36" ht="18">
      <c r="AD4310" s="93"/>
      <c r="AE4310" s="214"/>
      <c r="AF4310" s="93"/>
      <c r="AG4310" s="93"/>
      <c r="AH4310" s="93"/>
      <c r="AI4310" s="93"/>
      <c r="AJ4310" s="93"/>
    </row>
    <row r="4311" spans="30:36" ht="18">
      <c r="AD4311" s="93"/>
      <c r="AE4311" s="214"/>
      <c r="AF4311" s="93"/>
      <c r="AG4311" s="93"/>
      <c r="AH4311" s="93"/>
      <c r="AI4311" s="93"/>
      <c r="AJ4311" s="93"/>
    </row>
    <row r="4312" spans="30:36" ht="18">
      <c r="AD4312" s="93"/>
      <c r="AE4312" s="215"/>
      <c r="AF4312" s="93"/>
      <c r="AG4312" s="93"/>
      <c r="AH4312" s="93"/>
      <c r="AI4312" s="93"/>
      <c r="AJ4312" s="93"/>
    </row>
    <row r="4313" spans="30:36" ht="18">
      <c r="AD4313" s="93"/>
      <c r="AE4313" s="214"/>
      <c r="AF4313" s="93"/>
      <c r="AG4313" s="93"/>
      <c r="AH4313" s="93"/>
      <c r="AI4313" s="93"/>
      <c r="AJ4313" s="93"/>
    </row>
    <row r="4314" spans="30:36" ht="18">
      <c r="AD4314" s="93"/>
      <c r="AE4314" s="214"/>
      <c r="AF4314" s="93"/>
      <c r="AG4314" s="93"/>
      <c r="AH4314" s="93"/>
      <c r="AI4314" s="93"/>
      <c r="AJ4314" s="93"/>
    </row>
    <row r="4315" spans="30:36" ht="18">
      <c r="AD4315" s="93"/>
      <c r="AE4315" s="214"/>
      <c r="AF4315" s="93"/>
      <c r="AG4315" s="93"/>
      <c r="AH4315" s="93"/>
      <c r="AI4315" s="93"/>
      <c r="AJ4315" s="93"/>
    </row>
    <row r="4316" spans="30:36" ht="18">
      <c r="AD4316" s="93"/>
      <c r="AE4316" s="215"/>
      <c r="AF4316" s="93"/>
      <c r="AG4316" s="93"/>
      <c r="AH4316" s="93"/>
      <c r="AI4316" s="93"/>
      <c r="AJ4316" s="93"/>
    </row>
    <row r="4317" spans="30:36" ht="18">
      <c r="AD4317" s="93"/>
      <c r="AE4317" s="214"/>
      <c r="AF4317" s="93"/>
      <c r="AG4317" s="93"/>
      <c r="AH4317" s="93"/>
      <c r="AI4317" s="93"/>
      <c r="AJ4317" s="93"/>
    </row>
    <row r="4318" spans="30:36" ht="18">
      <c r="AD4318" s="93"/>
      <c r="AE4318" s="214"/>
      <c r="AF4318" s="93"/>
      <c r="AG4318" s="93"/>
      <c r="AH4318" s="93"/>
      <c r="AI4318" s="93"/>
      <c r="AJ4318" s="93"/>
    </row>
    <row r="4319" spans="30:36" ht="18">
      <c r="AD4319" s="93"/>
      <c r="AE4319" s="214"/>
      <c r="AF4319" s="93"/>
      <c r="AG4319" s="93"/>
      <c r="AH4319" s="93"/>
      <c r="AI4319" s="93"/>
      <c r="AJ4319" s="93"/>
    </row>
    <row r="4320" spans="30:36" ht="18">
      <c r="AD4320" s="93"/>
      <c r="AE4320" s="214"/>
      <c r="AF4320" s="93"/>
      <c r="AG4320" s="93"/>
      <c r="AH4320" s="93"/>
      <c r="AI4320" s="93"/>
      <c r="AJ4320" s="93"/>
    </row>
    <row r="4321" spans="30:36" ht="18">
      <c r="AD4321" s="93"/>
      <c r="AE4321" s="214"/>
      <c r="AF4321" s="93"/>
      <c r="AG4321" s="93"/>
      <c r="AH4321" s="93"/>
      <c r="AI4321" s="93"/>
      <c r="AJ4321" s="93"/>
    </row>
    <row r="4322" spans="30:36" ht="18">
      <c r="AD4322" s="93"/>
      <c r="AE4322" s="214"/>
      <c r="AF4322" s="93"/>
      <c r="AG4322" s="93"/>
      <c r="AH4322" s="93"/>
      <c r="AI4322" s="93"/>
      <c r="AJ4322" s="93"/>
    </row>
    <row r="4323" spans="30:36" ht="18">
      <c r="AD4323" s="93"/>
      <c r="AE4323" s="214"/>
      <c r="AF4323" s="93"/>
      <c r="AG4323" s="93"/>
      <c r="AH4323" s="93"/>
      <c r="AI4323" s="93"/>
      <c r="AJ4323" s="93"/>
    </row>
    <row r="4324" spans="30:36" ht="18">
      <c r="AD4324" s="93"/>
      <c r="AE4324" s="214"/>
      <c r="AF4324" s="93"/>
      <c r="AG4324" s="93"/>
      <c r="AH4324" s="93"/>
      <c r="AI4324" s="93"/>
      <c r="AJ4324" s="93"/>
    </row>
    <row r="4325" spans="30:36" ht="18">
      <c r="AD4325" s="93"/>
      <c r="AE4325" s="214"/>
      <c r="AF4325" s="93"/>
      <c r="AG4325" s="93"/>
      <c r="AH4325" s="93"/>
      <c r="AI4325" s="93"/>
      <c r="AJ4325" s="93"/>
    </row>
    <row r="4326" spans="30:36" ht="18">
      <c r="AD4326" s="93"/>
      <c r="AE4326" s="214"/>
      <c r="AF4326" s="93"/>
      <c r="AG4326" s="93"/>
      <c r="AH4326" s="93"/>
      <c r="AI4326" s="93"/>
      <c r="AJ4326" s="93"/>
    </row>
    <row r="4327" spans="30:36" ht="18">
      <c r="AD4327" s="93"/>
      <c r="AE4327" s="214"/>
      <c r="AF4327" s="93"/>
      <c r="AG4327" s="93"/>
      <c r="AH4327" s="93"/>
      <c r="AI4327" s="93"/>
      <c r="AJ4327" s="93"/>
    </row>
    <row r="4328" spans="30:36" ht="18">
      <c r="AD4328" s="93"/>
      <c r="AE4328" s="214"/>
      <c r="AF4328" s="93"/>
      <c r="AG4328" s="93"/>
      <c r="AH4328" s="93"/>
      <c r="AI4328" s="93"/>
      <c r="AJ4328" s="93"/>
    </row>
    <row r="4329" spans="30:36" ht="18">
      <c r="AD4329" s="93"/>
      <c r="AE4329" s="214"/>
      <c r="AF4329" s="93"/>
      <c r="AG4329" s="93"/>
      <c r="AH4329" s="93"/>
      <c r="AI4329" s="93"/>
      <c r="AJ4329" s="93"/>
    </row>
    <row r="4330" spans="30:36" ht="18">
      <c r="AD4330" s="93"/>
      <c r="AE4330" s="214"/>
      <c r="AF4330" s="93"/>
      <c r="AG4330" s="93"/>
      <c r="AH4330" s="93"/>
      <c r="AI4330" s="93"/>
      <c r="AJ4330" s="93"/>
    </row>
    <row r="4331" spans="30:36" ht="18">
      <c r="AD4331" s="93"/>
      <c r="AE4331" s="214"/>
      <c r="AF4331" s="93"/>
      <c r="AG4331" s="93"/>
      <c r="AH4331" s="93"/>
      <c r="AI4331" s="93"/>
      <c r="AJ4331" s="93"/>
    </row>
    <row r="4332" spans="30:36" ht="18">
      <c r="AD4332" s="93"/>
      <c r="AE4332" s="214"/>
      <c r="AF4332" s="93"/>
      <c r="AG4332" s="93"/>
      <c r="AH4332" s="93"/>
      <c r="AI4332" s="93"/>
      <c r="AJ4332" s="93"/>
    </row>
    <row r="4333" spans="30:36" ht="18">
      <c r="AD4333" s="93"/>
      <c r="AE4333" s="215"/>
      <c r="AF4333" s="93"/>
      <c r="AG4333" s="93"/>
      <c r="AH4333" s="93"/>
      <c r="AI4333" s="93"/>
      <c r="AJ4333" s="93"/>
    </row>
    <row r="4334" spans="30:36" ht="18">
      <c r="AD4334" s="93"/>
      <c r="AE4334" s="215"/>
      <c r="AF4334" s="93"/>
      <c r="AG4334" s="93"/>
      <c r="AH4334" s="93"/>
      <c r="AI4334" s="93"/>
      <c r="AJ4334" s="93"/>
    </row>
    <row r="4335" spans="30:36" ht="18">
      <c r="AD4335" s="93"/>
      <c r="AE4335" s="214"/>
      <c r="AF4335" s="93"/>
      <c r="AG4335" s="93"/>
      <c r="AH4335" s="93"/>
      <c r="AI4335" s="93"/>
      <c r="AJ4335" s="93"/>
    </row>
    <row r="4336" spans="30:36" ht="18">
      <c r="AD4336" s="93"/>
      <c r="AE4336" s="214"/>
      <c r="AF4336" s="93"/>
      <c r="AG4336" s="93"/>
      <c r="AH4336" s="93"/>
      <c r="AI4336" s="93"/>
      <c r="AJ4336" s="93"/>
    </row>
    <row r="4337" spans="30:36" ht="18">
      <c r="AD4337" s="93"/>
      <c r="AE4337" s="214"/>
      <c r="AF4337" s="93"/>
      <c r="AG4337" s="93"/>
      <c r="AH4337" s="93"/>
      <c r="AI4337" s="93"/>
      <c r="AJ4337" s="93"/>
    </row>
    <row r="4338" spans="30:36" ht="18">
      <c r="AD4338" s="93"/>
      <c r="AE4338" s="214"/>
      <c r="AF4338" s="93"/>
      <c r="AG4338" s="93"/>
      <c r="AH4338" s="93"/>
      <c r="AI4338" s="93"/>
      <c r="AJ4338" s="93"/>
    </row>
    <row r="4339" spans="30:36" ht="18">
      <c r="AD4339" s="93"/>
      <c r="AE4339" s="215"/>
      <c r="AF4339" s="93"/>
      <c r="AG4339" s="93"/>
      <c r="AH4339" s="93"/>
      <c r="AI4339" s="93"/>
      <c r="AJ4339" s="93"/>
    </row>
    <row r="4340" spans="30:36" ht="18">
      <c r="AD4340" s="93"/>
      <c r="AE4340" s="215"/>
      <c r="AF4340" s="93"/>
      <c r="AG4340" s="93"/>
      <c r="AH4340" s="93"/>
      <c r="AI4340" s="93"/>
      <c r="AJ4340" s="93"/>
    </row>
    <row r="4341" spans="30:36" ht="18">
      <c r="AD4341" s="93"/>
      <c r="AE4341" s="215"/>
      <c r="AF4341" s="93"/>
      <c r="AG4341" s="93"/>
      <c r="AH4341" s="93"/>
      <c r="AI4341" s="93"/>
      <c r="AJ4341" s="93"/>
    </row>
    <row r="4342" spans="30:36" ht="18">
      <c r="AD4342" s="93"/>
      <c r="AE4342" s="214"/>
      <c r="AF4342" s="93"/>
      <c r="AG4342" s="93"/>
      <c r="AH4342" s="93"/>
      <c r="AI4342" s="93"/>
      <c r="AJ4342" s="93"/>
    </row>
    <row r="4343" spans="30:36" ht="18">
      <c r="AD4343" s="93"/>
      <c r="AE4343" s="214"/>
      <c r="AF4343" s="93"/>
      <c r="AG4343" s="93"/>
      <c r="AH4343" s="93"/>
      <c r="AI4343" s="93"/>
      <c r="AJ4343" s="93"/>
    </row>
    <row r="4344" spans="30:36" ht="18">
      <c r="AD4344" s="93"/>
      <c r="AE4344" s="214"/>
      <c r="AF4344" s="93"/>
      <c r="AG4344" s="93"/>
      <c r="AH4344" s="93"/>
      <c r="AI4344" s="93"/>
      <c r="AJ4344" s="93"/>
    </row>
    <row r="4345" spans="30:36" ht="18">
      <c r="AD4345" s="93"/>
      <c r="AE4345" s="215"/>
      <c r="AF4345" s="93"/>
      <c r="AG4345" s="93"/>
      <c r="AH4345" s="93"/>
      <c r="AI4345" s="93"/>
      <c r="AJ4345" s="93"/>
    </row>
    <row r="4346" spans="30:36" ht="18">
      <c r="AD4346" s="93"/>
      <c r="AE4346" s="214"/>
      <c r="AF4346" s="93"/>
      <c r="AG4346" s="93"/>
      <c r="AH4346" s="93"/>
      <c r="AI4346" s="93"/>
      <c r="AJ4346" s="93"/>
    </row>
    <row r="4347" spans="30:36" ht="18">
      <c r="AD4347" s="93"/>
      <c r="AE4347" s="214"/>
      <c r="AF4347" s="93"/>
      <c r="AG4347" s="93"/>
      <c r="AH4347" s="93"/>
      <c r="AI4347" s="93"/>
      <c r="AJ4347" s="93"/>
    </row>
    <row r="4348" spans="30:36" ht="18">
      <c r="AD4348" s="93"/>
      <c r="AE4348" s="214"/>
      <c r="AF4348" s="93"/>
      <c r="AG4348" s="93"/>
      <c r="AH4348" s="93"/>
      <c r="AI4348" s="93"/>
      <c r="AJ4348" s="93"/>
    </row>
    <row r="4349" spans="30:36" ht="18">
      <c r="AD4349" s="93"/>
      <c r="AE4349" s="214"/>
      <c r="AF4349" s="93"/>
      <c r="AG4349" s="93"/>
      <c r="AH4349" s="93"/>
      <c r="AI4349" s="93"/>
      <c r="AJ4349" s="93"/>
    </row>
    <row r="4350" spans="30:36" ht="18">
      <c r="AD4350" s="93"/>
      <c r="AE4350" s="214"/>
      <c r="AF4350" s="93"/>
      <c r="AG4350" s="93"/>
      <c r="AH4350" s="93"/>
      <c r="AI4350" s="93"/>
      <c r="AJ4350" s="93"/>
    </row>
    <row r="4351" spans="30:36" ht="18">
      <c r="AD4351" s="93"/>
      <c r="AE4351" s="214"/>
      <c r="AF4351" s="93"/>
      <c r="AG4351" s="93"/>
      <c r="AH4351" s="93"/>
      <c r="AI4351" s="93"/>
      <c r="AJ4351" s="93"/>
    </row>
    <row r="4352" spans="30:36" ht="18">
      <c r="AD4352" s="93"/>
      <c r="AE4352" s="214"/>
      <c r="AF4352" s="93"/>
      <c r="AG4352" s="93"/>
      <c r="AH4352" s="93"/>
      <c r="AI4352" s="93"/>
      <c r="AJ4352" s="93"/>
    </row>
    <row r="4353" spans="30:36" ht="18">
      <c r="AD4353" s="93"/>
      <c r="AE4353" s="214"/>
      <c r="AF4353" s="93"/>
      <c r="AG4353" s="93"/>
      <c r="AH4353" s="93"/>
      <c r="AI4353" s="93"/>
      <c r="AJ4353" s="93"/>
    </row>
    <row r="4354" spans="30:36" ht="18">
      <c r="AD4354" s="93"/>
      <c r="AE4354" s="214"/>
      <c r="AF4354" s="93"/>
      <c r="AG4354" s="93"/>
      <c r="AH4354" s="93"/>
      <c r="AI4354" s="93"/>
      <c r="AJ4354" s="93"/>
    </row>
    <row r="4355" spans="30:36" ht="18">
      <c r="AD4355" s="93"/>
      <c r="AE4355" s="214"/>
      <c r="AF4355" s="93"/>
      <c r="AG4355" s="93"/>
      <c r="AH4355" s="93"/>
      <c r="AI4355" s="93"/>
      <c r="AJ4355" s="93"/>
    </row>
    <row r="4356" spans="30:36" ht="18">
      <c r="AD4356" s="93"/>
      <c r="AE4356" s="214"/>
      <c r="AF4356" s="93"/>
      <c r="AG4356" s="93"/>
      <c r="AH4356" s="93"/>
      <c r="AI4356" s="93"/>
      <c r="AJ4356" s="93"/>
    </row>
    <row r="4357" spans="30:36" ht="18">
      <c r="AD4357" s="93"/>
      <c r="AE4357" s="214"/>
      <c r="AF4357" s="93"/>
      <c r="AG4357" s="93"/>
      <c r="AH4357" s="93"/>
      <c r="AI4357" s="93"/>
      <c r="AJ4357" s="93"/>
    </row>
    <row r="4358" spans="30:36" ht="18">
      <c r="AD4358" s="93"/>
      <c r="AE4358" s="214"/>
      <c r="AF4358" s="93"/>
      <c r="AG4358" s="93"/>
      <c r="AH4358" s="93"/>
      <c r="AI4358" s="93"/>
      <c r="AJ4358" s="93"/>
    </row>
    <row r="4359" spans="30:36" ht="18">
      <c r="AD4359" s="93"/>
      <c r="AE4359" s="214"/>
      <c r="AF4359" s="93"/>
      <c r="AG4359" s="93"/>
      <c r="AH4359" s="93"/>
      <c r="AI4359" s="93"/>
      <c r="AJ4359" s="93"/>
    </row>
    <row r="4360" spans="30:36" ht="18">
      <c r="AD4360" s="93"/>
      <c r="AE4360" s="214"/>
      <c r="AF4360" s="93"/>
      <c r="AG4360" s="93"/>
      <c r="AH4360" s="93"/>
      <c r="AI4360" s="93"/>
      <c r="AJ4360" s="93"/>
    </row>
    <row r="4361" spans="30:36" ht="18">
      <c r="AD4361" s="93"/>
      <c r="AE4361" s="214"/>
      <c r="AF4361" s="93"/>
      <c r="AG4361" s="93"/>
      <c r="AH4361" s="93"/>
      <c r="AI4361" s="93"/>
      <c r="AJ4361" s="93"/>
    </row>
    <row r="4362" spans="30:36" ht="18">
      <c r="AD4362" s="93"/>
      <c r="AE4362" s="214"/>
      <c r="AF4362" s="93"/>
      <c r="AG4362" s="93"/>
      <c r="AH4362" s="93"/>
      <c r="AI4362" s="93"/>
      <c r="AJ4362" s="93"/>
    </row>
    <row r="4363" spans="30:36" ht="18">
      <c r="AD4363" s="93"/>
      <c r="AE4363" s="214"/>
      <c r="AF4363" s="93"/>
      <c r="AG4363" s="93"/>
      <c r="AH4363" s="93"/>
      <c r="AI4363" s="93"/>
      <c r="AJ4363" s="93"/>
    </row>
    <row r="4364" spans="30:36" ht="18">
      <c r="AD4364" s="93"/>
      <c r="AE4364" s="214"/>
      <c r="AF4364" s="93"/>
      <c r="AG4364" s="93"/>
      <c r="AH4364" s="93"/>
      <c r="AI4364" s="93"/>
      <c r="AJ4364" s="93"/>
    </row>
    <row r="4365" spans="30:36" ht="18">
      <c r="AD4365" s="93"/>
      <c r="AE4365" s="214"/>
      <c r="AF4365" s="93"/>
      <c r="AG4365" s="93"/>
      <c r="AH4365" s="93"/>
      <c r="AI4365" s="93"/>
      <c r="AJ4365" s="93"/>
    </row>
    <row r="4366" spans="30:36" ht="18">
      <c r="AD4366" s="93"/>
      <c r="AE4366" s="215"/>
      <c r="AF4366" s="93"/>
      <c r="AG4366" s="93"/>
      <c r="AH4366" s="93"/>
      <c r="AI4366" s="93"/>
      <c r="AJ4366" s="93"/>
    </row>
    <row r="4367" spans="30:36" ht="18">
      <c r="AD4367" s="93"/>
      <c r="AE4367" s="214"/>
      <c r="AF4367" s="93"/>
      <c r="AG4367" s="93"/>
      <c r="AH4367" s="93"/>
      <c r="AI4367" s="93"/>
      <c r="AJ4367" s="93"/>
    </row>
    <row r="4368" spans="30:36" ht="18">
      <c r="AD4368" s="93"/>
      <c r="AE4368" s="214"/>
      <c r="AF4368" s="93"/>
      <c r="AG4368" s="93"/>
      <c r="AH4368" s="93"/>
      <c r="AI4368" s="93"/>
      <c r="AJ4368" s="93"/>
    </row>
    <row r="4369" spans="30:36" ht="18">
      <c r="AD4369" s="93"/>
      <c r="AE4369" s="214"/>
      <c r="AF4369" s="93"/>
      <c r="AG4369" s="93"/>
      <c r="AH4369" s="93"/>
      <c r="AI4369" s="93"/>
      <c r="AJ4369" s="93"/>
    </row>
    <row r="4370" spans="30:36" ht="18">
      <c r="AD4370" s="93"/>
      <c r="AE4370" s="214"/>
      <c r="AF4370" s="93"/>
      <c r="AG4370" s="93"/>
      <c r="AH4370" s="93"/>
      <c r="AI4370" s="93"/>
      <c r="AJ4370" s="93"/>
    </row>
    <row r="4371" spans="30:36" ht="18">
      <c r="AD4371" s="93"/>
      <c r="AE4371" s="214"/>
      <c r="AF4371" s="93"/>
      <c r="AG4371" s="93"/>
      <c r="AH4371" s="93"/>
      <c r="AI4371" s="93"/>
      <c r="AJ4371" s="93"/>
    </row>
    <row r="4372" spans="30:36" ht="18">
      <c r="AD4372" s="93"/>
      <c r="AE4372" s="214"/>
      <c r="AF4372" s="93"/>
      <c r="AG4372" s="93"/>
      <c r="AH4372" s="93"/>
      <c r="AI4372" s="93"/>
      <c r="AJ4372" s="93"/>
    </row>
    <row r="4373" spans="30:36" ht="18">
      <c r="AD4373" s="93"/>
      <c r="AE4373" s="215"/>
      <c r="AF4373" s="93"/>
      <c r="AG4373" s="93"/>
      <c r="AH4373" s="93"/>
      <c r="AI4373" s="93"/>
      <c r="AJ4373" s="93"/>
    </row>
    <row r="4374" spans="30:36" ht="18">
      <c r="AD4374" s="93"/>
      <c r="AE4374" s="214"/>
      <c r="AF4374" s="93"/>
      <c r="AG4374" s="93"/>
      <c r="AH4374" s="93"/>
      <c r="AI4374" s="93"/>
      <c r="AJ4374" s="93"/>
    </row>
    <row r="4375" spans="30:36" ht="18">
      <c r="AD4375" s="93"/>
      <c r="AE4375" s="214"/>
      <c r="AF4375" s="93"/>
      <c r="AG4375" s="93"/>
      <c r="AH4375" s="93"/>
      <c r="AI4375" s="93"/>
      <c r="AJ4375" s="93"/>
    </row>
    <row r="4376" spans="30:36" ht="18">
      <c r="AD4376" s="93"/>
      <c r="AE4376" s="214"/>
      <c r="AF4376" s="93"/>
      <c r="AG4376" s="93"/>
      <c r="AH4376" s="93"/>
      <c r="AI4376" s="93"/>
      <c r="AJ4376" s="93"/>
    </row>
    <row r="4377" spans="30:36" ht="18">
      <c r="AD4377" s="93"/>
      <c r="AE4377" s="214"/>
      <c r="AF4377" s="93"/>
      <c r="AG4377" s="93"/>
      <c r="AH4377" s="93"/>
      <c r="AI4377" s="93"/>
      <c r="AJ4377" s="93"/>
    </row>
    <row r="4378" spans="30:36" ht="18">
      <c r="AD4378" s="93"/>
      <c r="AE4378" s="214"/>
      <c r="AF4378" s="93"/>
      <c r="AG4378" s="93"/>
      <c r="AH4378" s="93"/>
      <c r="AI4378" s="93"/>
      <c r="AJ4378" s="93"/>
    </row>
    <row r="4379" spans="30:36" ht="18">
      <c r="AD4379" s="93"/>
      <c r="AE4379" s="214"/>
      <c r="AF4379" s="93"/>
      <c r="AG4379" s="93"/>
      <c r="AH4379" s="93"/>
      <c r="AI4379" s="93"/>
      <c r="AJ4379" s="93"/>
    </row>
    <row r="4380" spans="30:36" ht="18">
      <c r="AD4380" s="93"/>
      <c r="AE4380" s="214"/>
      <c r="AF4380" s="93"/>
      <c r="AG4380" s="93"/>
      <c r="AH4380" s="93"/>
      <c r="AI4380" s="93"/>
      <c r="AJ4380" s="93"/>
    </row>
    <row r="4381" spans="30:36" ht="18">
      <c r="AD4381" s="93"/>
      <c r="AE4381" s="214"/>
      <c r="AF4381" s="93"/>
      <c r="AG4381" s="93"/>
      <c r="AH4381" s="93"/>
      <c r="AI4381" s="93"/>
      <c r="AJ4381" s="93"/>
    </row>
    <row r="4382" spans="30:36" ht="18">
      <c r="AD4382" s="93"/>
      <c r="AE4382" s="214"/>
      <c r="AF4382" s="93"/>
      <c r="AG4382" s="93"/>
      <c r="AH4382" s="93"/>
      <c r="AI4382" s="93"/>
      <c r="AJ4382" s="93"/>
    </row>
    <row r="4383" spans="30:36" ht="18">
      <c r="AD4383" s="93"/>
      <c r="AE4383" s="214"/>
      <c r="AF4383" s="93"/>
      <c r="AG4383" s="93"/>
      <c r="AH4383" s="93"/>
      <c r="AI4383" s="93"/>
      <c r="AJ4383" s="93"/>
    </row>
    <row r="4384" spans="30:36" ht="18">
      <c r="AD4384" s="93"/>
      <c r="AE4384" s="214"/>
      <c r="AF4384" s="93"/>
      <c r="AG4384" s="93"/>
      <c r="AH4384" s="93"/>
      <c r="AI4384" s="93"/>
      <c r="AJ4384" s="93"/>
    </row>
    <row r="4385" spans="30:36" ht="18">
      <c r="AD4385" s="93"/>
      <c r="AE4385" s="214"/>
      <c r="AF4385" s="93"/>
      <c r="AG4385" s="93"/>
      <c r="AH4385" s="93"/>
      <c r="AI4385" s="93"/>
      <c r="AJ4385" s="93"/>
    </row>
    <row r="4386" spans="30:36" ht="18">
      <c r="AD4386" s="93"/>
      <c r="AE4386" s="215"/>
      <c r="AF4386" s="93"/>
      <c r="AG4386" s="93"/>
      <c r="AH4386" s="93"/>
      <c r="AI4386" s="93"/>
      <c r="AJ4386" s="93"/>
    </row>
    <row r="4387" spans="30:36" ht="18">
      <c r="AD4387" s="93"/>
      <c r="AE4387" s="214"/>
      <c r="AF4387" s="93"/>
      <c r="AG4387" s="93"/>
      <c r="AH4387" s="93"/>
      <c r="AI4387" s="93"/>
      <c r="AJ4387" s="93"/>
    </row>
    <row r="4388" spans="30:36" ht="18">
      <c r="AD4388" s="93"/>
      <c r="AE4388" s="214"/>
      <c r="AF4388" s="93"/>
      <c r="AG4388" s="93"/>
      <c r="AH4388" s="93"/>
      <c r="AI4388" s="93"/>
      <c r="AJ4388" s="93"/>
    </row>
    <row r="4389" spans="30:36" ht="18">
      <c r="AD4389" s="93"/>
      <c r="AE4389" s="214"/>
      <c r="AF4389" s="93"/>
      <c r="AG4389" s="93"/>
      <c r="AH4389" s="93"/>
      <c r="AI4389" s="93"/>
      <c r="AJ4389" s="93"/>
    </row>
    <row r="4390" spans="30:36" ht="18">
      <c r="AD4390" s="93"/>
      <c r="AE4390" s="214"/>
      <c r="AF4390" s="93"/>
      <c r="AG4390" s="93"/>
      <c r="AH4390" s="93"/>
      <c r="AI4390" s="93"/>
      <c r="AJ4390" s="93"/>
    </row>
    <row r="4391" spans="30:36" ht="18">
      <c r="AD4391" s="93"/>
      <c r="AE4391" s="215"/>
      <c r="AF4391" s="93"/>
      <c r="AG4391" s="93"/>
      <c r="AH4391" s="93"/>
      <c r="AI4391" s="93"/>
      <c r="AJ4391" s="93"/>
    </row>
    <row r="4392" spans="30:36" ht="18">
      <c r="AD4392" s="93"/>
      <c r="AE4392" s="214"/>
      <c r="AF4392" s="93"/>
      <c r="AG4392" s="93"/>
      <c r="AH4392" s="93"/>
      <c r="AI4392" s="93"/>
      <c r="AJ4392" s="93"/>
    </row>
    <row r="4393" spans="30:36" ht="18">
      <c r="AD4393" s="93"/>
      <c r="AE4393" s="214"/>
      <c r="AF4393" s="93"/>
      <c r="AG4393" s="93"/>
      <c r="AH4393" s="93"/>
      <c r="AI4393" s="93"/>
      <c r="AJ4393" s="93"/>
    </row>
    <row r="4394" spans="30:36" ht="18">
      <c r="AD4394" s="93"/>
      <c r="AE4394" s="214"/>
      <c r="AF4394" s="93"/>
      <c r="AG4394" s="93"/>
      <c r="AH4394" s="93"/>
      <c r="AI4394" s="93"/>
      <c r="AJ4394" s="93"/>
    </row>
    <row r="4395" spans="30:36" ht="18">
      <c r="AD4395" s="93"/>
      <c r="AE4395" s="214"/>
      <c r="AF4395" s="93"/>
      <c r="AG4395" s="93"/>
      <c r="AH4395" s="93"/>
      <c r="AI4395" s="93"/>
      <c r="AJ4395" s="93"/>
    </row>
    <row r="4396" spans="30:36" ht="18">
      <c r="AD4396" s="93"/>
      <c r="AE4396" s="214"/>
      <c r="AF4396" s="93"/>
      <c r="AG4396" s="93"/>
      <c r="AH4396" s="93"/>
      <c r="AI4396" s="93"/>
      <c r="AJ4396" s="93"/>
    </row>
    <row r="4397" spans="30:36" ht="18">
      <c r="AD4397" s="93"/>
      <c r="AE4397" s="214"/>
      <c r="AF4397" s="93"/>
      <c r="AG4397" s="93"/>
      <c r="AH4397" s="93"/>
      <c r="AI4397" s="93"/>
      <c r="AJ4397" s="93"/>
    </row>
    <row r="4398" spans="30:36" ht="18">
      <c r="AD4398" s="93"/>
      <c r="AE4398" s="214"/>
      <c r="AF4398" s="93"/>
      <c r="AG4398" s="93"/>
      <c r="AH4398" s="93"/>
      <c r="AI4398" s="93"/>
      <c r="AJ4398" s="93"/>
    </row>
    <row r="4399" spans="30:36" ht="18">
      <c r="AD4399" s="93"/>
      <c r="AE4399" s="214"/>
      <c r="AF4399" s="93"/>
      <c r="AG4399" s="93"/>
      <c r="AH4399" s="93"/>
      <c r="AI4399" s="93"/>
      <c r="AJ4399" s="93"/>
    </row>
    <row r="4400" spans="30:36" ht="18">
      <c r="AD4400" s="93"/>
      <c r="AE4400" s="214"/>
      <c r="AF4400" s="93"/>
      <c r="AG4400" s="93"/>
      <c r="AH4400" s="93"/>
      <c r="AI4400" s="93"/>
      <c r="AJ4400" s="93"/>
    </row>
    <row r="4401" spans="30:36" ht="18">
      <c r="AD4401" s="93"/>
      <c r="AE4401" s="214"/>
      <c r="AF4401" s="93"/>
      <c r="AG4401" s="93"/>
      <c r="AH4401" s="93"/>
      <c r="AI4401" s="93"/>
      <c r="AJ4401" s="93"/>
    </row>
    <row r="4402" spans="30:36" ht="18">
      <c r="AD4402" s="93"/>
      <c r="AE4402" s="214"/>
      <c r="AF4402" s="93"/>
      <c r="AG4402" s="93"/>
      <c r="AH4402" s="93"/>
      <c r="AI4402" s="93"/>
      <c r="AJ4402" s="93"/>
    </row>
    <row r="4403" spans="30:36" ht="18">
      <c r="AD4403" s="93"/>
      <c r="AE4403" s="214"/>
      <c r="AF4403" s="93"/>
      <c r="AG4403" s="93"/>
      <c r="AH4403" s="93"/>
      <c r="AI4403" s="93"/>
      <c r="AJ4403" s="93"/>
    </row>
    <row r="4404" spans="30:36" ht="18">
      <c r="AD4404" s="93"/>
      <c r="AE4404" s="214"/>
      <c r="AF4404" s="93"/>
      <c r="AG4404" s="93"/>
      <c r="AH4404" s="93"/>
      <c r="AI4404" s="93"/>
      <c r="AJ4404" s="93"/>
    </row>
    <row r="4405" spans="30:36" ht="18">
      <c r="AD4405" s="93"/>
      <c r="AE4405" s="214"/>
      <c r="AF4405" s="93"/>
      <c r="AG4405" s="93"/>
      <c r="AH4405" s="93"/>
      <c r="AI4405" s="93"/>
      <c r="AJ4405" s="93"/>
    </row>
    <row r="4406" spans="30:36" ht="18">
      <c r="AD4406" s="93"/>
      <c r="AE4406" s="214"/>
      <c r="AF4406" s="93"/>
      <c r="AG4406" s="93"/>
      <c r="AH4406" s="93"/>
      <c r="AI4406" s="93"/>
      <c r="AJ4406" s="93"/>
    </row>
    <row r="4407" spans="30:36" ht="18">
      <c r="AD4407" s="93"/>
      <c r="AE4407" s="214"/>
      <c r="AF4407" s="93"/>
      <c r="AG4407" s="93"/>
      <c r="AH4407" s="93"/>
      <c r="AI4407" s="93"/>
      <c r="AJ4407" s="93"/>
    </row>
    <row r="4408" spans="30:36" ht="18">
      <c r="AD4408" s="93"/>
      <c r="AE4408" s="214"/>
      <c r="AF4408" s="93"/>
      <c r="AG4408" s="93"/>
      <c r="AH4408" s="93"/>
      <c r="AI4408" s="93"/>
      <c r="AJ4408" s="93"/>
    </row>
    <row r="4409" spans="30:36" ht="18">
      <c r="AD4409" s="93"/>
      <c r="AE4409" s="214"/>
      <c r="AF4409" s="93"/>
      <c r="AG4409" s="93"/>
      <c r="AH4409" s="93"/>
      <c r="AI4409" s="93"/>
      <c r="AJ4409" s="93"/>
    </row>
    <row r="4410" spans="30:36" ht="18">
      <c r="AD4410" s="93"/>
      <c r="AE4410" s="214"/>
      <c r="AF4410" s="93"/>
      <c r="AG4410" s="93"/>
      <c r="AH4410" s="93"/>
      <c r="AI4410" s="93"/>
      <c r="AJ4410" s="93"/>
    </row>
    <row r="4411" spans="30:36" ht="18">
      <c r="AD4411" s="93"/>
      <c r="AE4411" s="215"/>
      <c r="AF4411" s="93"/>
      <c r="AG4411" s="93"/>
      <c r="AH4411" s="93"/>
      <c r="AI4411" s="93"/>
      <c r="AJ4411" s="93"/>
    </row>
    <row r="4412" spans="30:36" ht="18">
      <c r="AD4412" s="93"/>
      <c r="AE4412" s="215"/>
      <c r="AF4412" s="93"/>
      <c r="AG4412" s="93"/>
      <c r="AH4412" s="93"/>
      <c r="AI4412" s="93"/>
      <c r="AJ4412" s="93"/>
    </row>
    <row r="4413" spans="30:36" ht="18">
      <c r="AD4413" s="93"/>
      <c r="AE4413" s="214"/>
      <c r="AF4413" s="93"/>
      <c r="AG4413" s="93"/>
      <c r="AH4413" s="93"/>
      <c r="AI4413" s="93"/>
      <c r="AJ4413" s="93"/>
    </row>
    <row r="4414" spans="30:36" ht="18">
      <c r="AD4414" s="93"/>
      <c r="AE4414" s="214"/>
      <c r="AF4414" s="93"/>
      <c r="AG4414" s="93"/>
      <c r="AH4414" s="93"/>
      <c r="AI4414" s="93"/>
      <c r="AJ4414" s="93"/>
    </row>
    <row r="4415" spans="30:36" ht="18">
      <c r="AD4415" s="93"/>
      <c r="AE4415" s="214"/>
      <c r="AF4415" s="93"/>
      <c r="AG4415" s="93"/>
      <c r="AH4415" s="93"/>
      <c r="AI4415" s="93"/>
      <c r="AJ4415" s="93"/>
    </row>
    <row r="4416" spans="30:36" ht="18">
      <c r="AD4416" s="93"/>
      <c r="AE4416" s="215"/>
      <c r="AF4416" s="93"/>
      <c r="AG4416" s="93"/>
      <c r="AH4416" s="93"/>
      <c r="AI4416" s="93"/>
      <c r="AJ4416" s="93"/>
    </row>
    <row r="4417" spans="30:36" ht="18">
      <c r="AD4417" s="93"/>
      <c r="AE4417" s="214"/>
      <c r="AF4417" s="93"/>
      <c r="AG4417" s="93"/>
      <c r="AH4417" s="93"/>
      <c r="AI4417" s="93"/>
      <c r="AJ4417" s="93"/>
    </row>
    <row r="4418" spans="30:36" ht="18">
      <c r="AD4418" s="93"/>
      <c r="AE4418" s="214"/>
      <c r="AF4418" s="93"/>
      <c r="AG4418" s="93"/>
      <c r="AH4418" s="93"/>
      <c r="AI4418" s="93"/>
      <c r="AJ4418" s="93"/>
    </row>
    <row r="4419" spans="30:36" ht="18">
      <c r="AD4419" s="93"/>
      <c r="AE4419" s="214"/>
      <c r="AF4419" s="93"/>
      <c r="AG4419" s="93"/>
      <c r="AH4419" s="93"/>
      <c r="AI4419" s="93"/>
      <c r="AJ4419" s="93"/>
    </row>
    <row r="4420" spans="30:36" ht="18">
      <c r="AD4420" s="93"/>
      <c r="AE4420" s="214"/>
      <c r="AF4420" s="93"/>
      <c r="AG4420" s="93"/>
      <c r="AH4420" s="93"/>
      <c r="AI4420" s="93"/>
      <c r="AJ4420" s="93"/>
    </row>
    <row r="4421" spans="30:36" ht="18">
      <c r="AD4421" s="93"/>
      <c r="AE4421" s="214"/>
      <c r="AF4421" s="93"/>
      <c r="AG4421" s="93"/>
      <c r="AH4421" s="93"/>
      <c r="AI4421" s="93"/>
      <c r="AJ4421" s="93"/>
    </row>
    <row r="4422" spans="30:36" ht="18">
      <c r="AD4422" s="93"/>
      <c r="AE4422" s="214"/>
      <c r="AF4422" s="93"/>
      <c r="AG4422" s="93"/>
      <c r="AH4422" s="93"/>
      <c r="AI4422" s="93"/>
      <c r="AJ4422" s="93"/>
    </row>
    <row r="4423" spans="30:36" ht="18">
      <c r="AD4423" s="93"/>
      <c r="AE4423" s="215"/>
      <c r="AF4423" s="93"/>
      <c r="AG4423" s="93"/>
      <c r="AH4423" s="93"/>
      <c r="AI4423" s="93"/>
      <c r="AJ4423" s="93"/>
    </row>
    <row r="4424" spans="30:36" ht="18">
      <c r="AD4424" s="93"/>
      <c r="AE4424" s="214"/>
      <c r="AF4424" s="93"/>
      <c r="AG4424" s="93"/>
      <c r="AH4424" s="93"/>
      <c r="AI4424" s="93"/>
      <c r="AJ4424" s="93"/>
    </row>
    <row r="4425" spans="30:36" ht="18">
      <c r="AD4425" s="93"/>
      <c r="AE4425" s="214"/>
      <c r="AF4425" s="93"/>
      <c r="AG4425" s="93"/>
      <c r="AH4425" s="93"/>
      <c r="AI4425" s="93"/>
      <c r="AJ4425" s="93"/>
    </row>
    <row r="4426" spans="30:36" ht="18">
      <c r="AD4426" s="93"/>
      <c r="AE4426" s="214"/>
      <c r="AF4426" s="93"/>
      <c r="AG4426" s="93"/>
      <c r="AH4426" s="93"/>
      <c r="AI4426" s="93"/>
      <c r="AJ4426" s="93"/>
    </row>
    <row r="4427" spans="30:36" ht="18">
      <c r="AD4427" s="93"/>
      <c r="AE4427" s="214"/>
      <c r="AF4427" s="93"/>
      <c r="AG4427" s="93"/>
      <c r="AH4427" s="93"/>
      <c r="AI4427" s="93"/>
      <c r="AJ4427" s="93"/>
    </row>
    <row r="4428" spans="30:36" ht="18">
      <c r="AD4428" s="93"/>
      <c r="AE4428" s="215"/>
      <c r="AF4428" s="93"/>
      <c r="AG4428" s="93"/>
      <c r="AH4428" s="93"/>
      <c r="AI4428" s="93"/>
      <c r="AJ4428" s="93"/>
    </row>
    <row r="4429" spans="30:36" ht="18">
      <c r="AD4429" s="93"/>
      <c r="AE4429" s="215"/>
      <c r="AF4429" s="93"/>
      <c r="AG4429" s="93"/>
      <c r="AH4429" s="93"/>
      <c r="AI4429" s="93"/>
      <c r="AJ4429" s="93"/>
    </row>
    <row r="4430" spans="30:36" ht="18">
      <c r="AD4430" s="93"/>
      <c r="AE4430" s="215"/>
      <c r="AF4430" s="93"/>
      <c r="AG4430" s="93"/>
      <c r="AH4430" s="93"/>
      <c r="AI4430" s="93"/>
      <c r="AJ4430" s="93"/>
    </row>
    <row r="4431" spans="30:36" ht="18">
      <c r="AD4431" s="93"/>
      <c r="AE4431" s="214"/>
      <c r="AF4431" s="93"/>
      <c r="AG4431" s="93"/>
      <c r="AH4431" s="93"/>
      <c r="AI4431" s="93"/>
      <c r="AJ4431" s="93"/>
    </row>
    <row r="4432" spans="30:36" ht="18">
      <c r="AD4432" s="93"/>
      <c r="AE4432" s="214"/>
      <c r="AF4432" s="93"/>
      <c r="AG4432" s="93"/>
      <c r="AH4432" s="93"/>
      <c r="AI4432" s="93"/>
      <c r="AJ4432" s="93"/>
    </row>
    <row r="4433" spans="30:36" ht="18">
      <c r="AD4433" s="93"/>
      <c r="AE4433" s="215"/>
      <c r="AF4433" s="93"/>
      <c r="AG4433" s="93"/>
      <c r="AH4433" s="93"/>
      <c r="AI4433" s="93"/>
      <c r="AJ4433" s="93"/>
    </row>
    <row r="4434" spans="30:36" ht="18">
      <c r="AD4434" s="93"/>
      <c r="AE4434" s="214"/>
      <c r="AF4434" s="93"/>
      <c r="AG4434" s="93"/>
      <c r="AH4434" s="93"/>
      <c r="AI4434" s="93"/>
      <c r="AJ4434" s="93"/>
    </row>
    <row r="4435" spans="30:36" ht="18">
      <c r="AD4435" s="93"/>
      <c r="AE4435" s="214"/>
      <c r="AF4435" s="93"/>
      <c r="AG4435" s="93"/>
      <c r="AH4435" s="93"/>
      <c r="AI4435" s="93"/>
      <c r="AJ4435" s="93"/>
    </row>
    <row r="4436" spans="30:36" ht="18">
      <c r="AD4436" s="93"/>
      <c r="AE4436" s="214"/>
      <c r="AF4436" s="93"/>
      <c r="AG4436" s="93"/>
      <c r="AH4436" s="93"/>
      <c r="AI4436" s="93"/>
      <c r="AJ4436" s="93"/>
    </row>
    <row r="4437" spans="30:36" ht="18">
      <c r="AD4437" s="93"/>
      <c r="AE4437" s="214"/>
      <c r="AF4437" s="93"/>
      <c r="AG4437" s="93"/>
      <c r="AH4437" s="93"/>
      <c r="AI4437" s="93"/>
      <c r="AJ4437" s="93"/>
    </row>
    <row r="4438" spans="30:36" ht="18">
      <c r="AD4438" s="93"/>
      <c r="AE4438" s="214"/>
      <c r="AF4438" s="93"/>
      <c r="AG4438" s="93"/>
      <c r="AH4438" s="93"/>
      <c r="AI4438" s="93"/>
      <c r="AJ4438" s="93"/>
    </row>
    <row r="4439" spans="30:36" ht="18">
      <c r="AD4439" s="93"/>
      <c r="AE4439" s="214"/>
      <c r="AF4439" s="93"/>
      <c r="AG4439" s="93"/>
      <c r="AH4439" s="93"/>
      <c r="AI4439" s="93"/>
      <c r="AJ4439" s="93"/>
    </row>
    <row r="4440" spans="30:36" ht="18">
      <c r="AD4440" s="93"/>
      <c r="AE4440" s="214"/>
      <c r="AF4440" s="93"/>
      <c r="AG4440" s="93"/>
      <c r="AH4440" s="93"/>
      <c r="AI4440" s="93"/>
      <c r="AJ4440" s="93"/>
    </row>
    <row r="4441" spans="30:36" ht="18">
      <c r="AD4441" s="93"/>
      <c r="AE4441" s="214"/>
      <c r="AF4441" s="93"/>
      <c r="AG4441" s="93"/>
      <c r="AH4441" s="93"/>
      <c r="AI4441" s="93"/>
      <c r="AJ4441" s="93"/>
    </row>
    <row r="4442" spans="30:36" ht="18">
      <c r="AD4442" s="93"/>
      <c r="AE4442" s="214"/>
      <c r="AF4442" s="93"/>
      <c r="AG4442" s="93"/>
      <c r="AH4442" s="93"/>
      <c r="AI4442" s="93"/>
      <c r="AJ4442" s="93"/>
    </row>
    <row r="4443" spans="30:36" ht="18">
      <c r="AD4443" s="93"/>
      <c r="AE4443" s="214"/>
      <c r="AF4443" s="93"/>
      <c r="AG4443" s="93"/>
      <c r="AH4443" s="93"/>
      <c r="AI4443" s="93"/>
      <c r="AJ4443" s="93"/>
    </row>
    <row r="4444" spans="30:36" ht="18">
      <c r="AD4444" s="93"/>
      <c r="AE4444" s="214"/>
      <c r="AF4444" s="93"/>
      <c r="AG4444" s="93"/>
      <c r="AH4444" s="93"/>
      <c r="AI4444" s="93"/>
      <c r="AJ4444" s="93"/>
    </row>
    <row r="4445" spans="30:36" ht="18">
      <c r="AD4445" s="93"/>
      <c r="AE4445" s="214"/>
      <c r="AF4445" s="93"/>
      <c r="AG4445" s="93"/>
      <c r="AH4445" s="93"/>
      <c r="AI4445" s="93"/>
      <c r="AJ4445" s="93"/>
    </row>
    <row r="4446" spans="30:36" ht="18">
      <c r="AD4446" s="93"/>
      <c r="AE4446" s="214"/>
      <c r="AF4446" s="93"/>
      <c r="AG4446" s="93"/>
      <c r="AH4446" s="93"/>
      <c r="AI4446" s="93"/>
      <c r="AJ4446" s="93"/>
    </row>
    <row r="4447" spans="30:36" ht="18">
      <c r="AD4447" s="93"/>
      <c r="AE4447" s="214"/>
      <c r="AF4447" s="93"/>
      <c r="AG4447" s="93"/>
      <c r="AH4447" s="93"/>
      <c r="AI4447" s="93"/>
      <c r="AJ4447" s="93"/>
    </row>
    <row r="4448" spans="30:36" ht="18">
      <c r="AD4448" s="93"/>
      <c r="AE4448" s="215"/>
      <c r="AF4448" s="93"/>
      <c r="AG4448" s="93"/>
      <c r="AH4448" s="93"/>
      <c r="AI4448" s="93"/>
      <c r="AJ4448" s="93"/>
    </row>
    <row r="4449" spans="30:36" ht="18">
      <c r="AD4449" s="93"/>
      <c r="AE4449" s="214"/>
      <c r="AF4449" s="93"/>
      <c r="AG4449" s="93"/>
      <c r="AH4449" s="93"/>
      <c r="AI4449" s="93"/>
      <c r="AJ4449" s="93"/>
    </row>
    <row r="4450" spans="30:36" ht="18">
      <c r="AD4450" s="93"/>
      <c r="AE4450" s="214"/>
      <c r="AF4450" s="93"/>
      <c r="AG4450" s="93"/>
      <c r="AH4450" s="93"/>
      <c r="AI4450" s="93"/>
      <c r="AJ4450" s="93"/>
    </row>
    <row r="4451" spans="30:36" ht="18">
      <c r="AD4451" s="93"/>
      <c r="AE4451" s="214"/>
      <c r="AF4451" s="93"/>
      <c r="AG4451" s="93"/>
      <c r="AH4451" s="93"/>
      <c r="AI4451" s="93"/>
      <c r="AJ4451" s="93"/>
    </row>
    <row r="4452" spans="30:36" ht="18">
      <c r="AD4452" s="93"/>
      <c r="AE4452" s="215"/>
      <c r="AF4452" s="93"/>
      <c r="AG4452" s="93"/>
      <c r="AH4452" s="93"/>
      <c r="AI4452" s="93"/>
      <c r="AJ4452" s="93"/>
    </row>
    <row r="4453" spans="30:36" ht="18">
      <c r="AD4453" s="93"/>
      <c r="AE4453" s="214"/>
      <c r="AF4453" s="93"/>
      <c r="AG4453" s="93"/>
      <c r="AH4453" s="93"/>
      <c r="AI4453" s="93"/>
      <c r="AJ4453" s="93"/>
    </row>
    <row r="4454" spans="30:36" ht="18">
      <c r="AD4454" s="93"/>
      <c r="AE4454" s="214"/>
      <c r="AF4454" s="93"/>
      <c r="AG4454" s="93"/>
      <c r="AH4454" s="93"/>
      <c r="AI4454" s="93"/>
      <c r="AJ4454" s="93"/>
    </row>
    <row r="4455" spans="30:36" ht="18">
      <c r="AD4455" s="93"/>
      <c r="AE4455" s="214"/>
      <c r="AF4455" s="93"/>
      <c r="AG4455" s="93"/>
      <c r="AH4455" s="93"/>
      <c r="AI4455" s="93"/>
      <c r="AJ4455" s="93"/>
    </row>
    <row r="4456" spans="30:36" ht="18">
      <c r="AD4456" s="93"/>
      <c r="AE4456" s="214"/>
      <c r="AF4456" s="93"/>
      <c r="AG4456" s="93"/>
      <c r="AH4456" s="93"/>
      <c r="AI4456" s="93"/>
      <c r="AJ4456" s="93"/>
    </row>
    <row r="4457" spans="30:36" ht="18">
      <c r="AD4457" s="93"/>
      <c r="AE4457" s="215"/>
      <c r="AF4457" s="93"/>
      <c r="AG4457" s="93"/>
      <c r="AH4457" s="93"/>
      <c r="AI4457" s="93"/>
      <c r="AJ4457" s="93"/>
    </row>
    <row r="4458" spans="30:36" ht="18">
      <c r="AD4458" s="93"/>
      <c r="AE4458" s="215"/>
      <c r="AF4458" s="93"/>
      <c r="AG4458" s="93"/>
      <c r="AH4458" s="93"/>
      <c r="AI4458" s="93"/>
      <c r="AJ4458" s="93"/>
    </row>
    <row r="4459" spans="30:36" ht="18">
      <c r="AD4459" s="93"/>
      <c r="AE4459" s="214"/>
      <c r="AF4459" s="93"/>
      <c r="AG4459" s="93"/>
      <c r="AH4459" s="93"/>
      <c r="AI4459" s="93"/>
      <c r="AJ4459" s="93"/>
    </row>
    <row r="4460" spans="30:36" ht="18">
      <c r="AD4460" s="93"/>
      <c r="AE4460" s="214"/>
      <c r="AF4460" s="93"/>
      <c r="AG4460" s="93"/>
      <c r="AH4460" s="93"/>
      <c r="AI4460" s="93"/>
      <c r="AJ4460" s="93"/>
    </row>
    <row r="4461" spans="30:36" ht="18">
      <c r="AD4461" s="93"/>
      <c r="AE4461" s="214"/>
      <c r="AF4461" s="93"/>
      <c r="AG4461" s="93"/>
      <c r="AH4461" s="93"/>
      <c r="AI4461" s="93"/>
      <c r="AJ4461" s="93"/>
    </row>
    <row r="4462" spans="30:36" ht="18">
      <c r="AD4462" s="93"/>
      <c r="AE4462" s="214"/>
      <c r="AF4462" s="93"/>
      <c r="AG4462" s="93"/>
      <c r="AH4462" s="93"/>
      <c r="AI4462" s="93"/>
      <c r="AJ4462" s="93"/>
    </row>
    <row r="4463" spans="30:36" ht="18">
      <c r="AD4463" s="93"/>
      <c r="AE4463" s="214"/>
      <c r="AF4463" s="93"/>
      <c r="AG4463" s="93"/>
      <c r="AH4463" s="93"/>
      <c r="AI4463" s="93"/>
      <c r="AJ4463" s="93"/>
    </row>
    <row r="4464" spans="30:36" ht="18">
      <c r="AD4464" s="93"/>
      <c r="AE4464" s="214"/>
      <c r="AF4464" s="93"/>
      <c r="AG4464" s="93"/>
      <c r="AH4464" s="93"/>
      <c r="AI4464" s="93"/>
      <c r="AJ4464" s="93"/>
    </row>
    <row r="4465" spans="30:36" ht="18">
      <c r="AD4465" s="93"/>
      <c r="AE4465" s="214"/>
      <c r="AF4465" s="93"/>
      <c r="AG4465" s="93"/>
      <c r="AH4465" s="93"/>
      <c r="AI4465" s="93"/>
      <c r="AJ4465" s="93"/>
    </row>
    <row r="4466" spans="30:36" ht="18">
      <c r="AD4466" s="93"/>
      <c r="AE4466" s="214"/>
      <c r="AF4466" s="93"/>
      <c r="AG4466" s="93"/>
      <c r="AH4466" s="93"/>
      <c r="AI4466" s="93"/>
      <c r="AJ4466" s="93"/>
    </row>
    <row r="4467" spans="30:36" ht="18">
      <c r="AD4467" s="93"/>
      <c r="AE4467" s="214"/>
      <c r="AF4467" s="93"/>
      <c r="AG4467" s="93"/>
      <c r="AH4467" s="93"/>
      <c r="AI4467" s="93"/>
      <c r="AJ4467" s="93"/>
    </row>
    <row r="4468" spans="30:36" ht="18">
      <c r="AD4468" s="93"/>
      <c r="AE4468" s="214"/>
      <c r="AF4468" s="93"/>
      <c r="AG4468" s="93"/>
      <c r="AH4468" s="93"/>
      <c r="AI4468" s="93"/>
      <c r="AJ4468" s="93"/>
    </row>
    <row r="4469" spans="30:36" ht="18">
      <c r="AD4469" s="93"/>
      <c r="AE4469" s="214"/>
      <c r="AF4469" s="93"/>
      <c r="AG4469" s="93"/>
      <c r="AH4469" s="93"/>
      <c r="AI4469" s="93"/>
      <c r="AJ4469" s="93"/>
    </row>
    <row r="4470" spans="30:36" ht="18">
      <c r="AD4470" s="93"/>
      <c r="AE4470" s="214"/>
      <c r="AF4470" s="93"/>
      <c r="AG4470" s="93"/>
      <c r="AH4470" s="93"/>
      <c r="AI4470" s="93"/>
      <c r="AJ4470" s="93"/>
    </row>
    <row r="4471" spans="30:36" ht="18">
      <c r="AD4471" s="93"/>
      <c r="AE4471" s="214"/>
      <c r="AF4471" s="93"/>
      <c r="AG4471" s="93"/>
      <c r="AH4471" s="93"/>
      <c r="AI4471" s="93"/>
      <c r="AJ4471" s="93"/>
    </row>
    <row r="4472" spans="30:36" ht="18">
      <c r="AD4472" s="93"/>
      <c r="AE4472" s="215"/>
      <c r="AF4472" s="93"/>
      <c r="AG4472" s="93"/>
      <c r="AH4472" s="93"/>
      <c r="AI4472" s="93"/>
      <c r="AJ4472" s="93"/>
    </row>
    <row r="4473" spans="30:36" ht="18">
      <c r="AD4473" s="93"/>
      <c r="AE4473" s="214"/>
      <c r="AF4473" s="93"/>
      <c r="AG4473" s="93"/>
      <c r="AH4473" s="93"/>
      <c r="AI4473" s="93"/>
      <c r="AJ4473" s="93"/>
    </row>
    <row r="4474" spans="30:36" ht="18">
      <c r="AD4474" s="93"/>
      <c r="AE4474" s="214"/>
      <c r="AF4474" s="93"/>
      <c r="AG4474" s="93"/>
      <c r="AH4474" s="93"/>
      <c r="AI4474" s="93"/>
      <c r="AJ4474" s="93"/>
    </row>
    <row r="4475" spans="30:36" ht="18">
      <c r="AD4475" s="93"/>
      <c r="AE4475" s="214"/>
      <c r="AF4475" s="93"/>
      <c r="AG4475" s="93"/>
      <c r="AH4475" s="93"/>
      <c r="AI4475" s="93"/>
      <c r="AJ4475" s="93"/>
    </row>
    <row r="4476" spans="30:36" ht="18">
      <c r="AD4476" s="93"/>
      <c r="AE4476" s="214"/>
      <c r="AF4476" s="93"/>
      <c r="AG4476" s="93"/>
      <c r="AH4476" s="93"/>
      <c r="AI4476" s="93"/>
      <c r="AJ4476" s="93"/>
    </row>
    <row r="4477" spans="30:36" ht="18">
      <c r="AD4477" s="93"/>
      <c r="AE4477" s="215"/>
      <c r="AF4477" s="93"/>
      <c r="AG4477" s="93"/>
      <c r="AH4477" s="93"/>
      <c r="AI4477" s="93"/>
      <c r="AJ4477" s="93"/>
    </row>
    <row r="4478" spans="30:36" ht="18">
      <c r="AD4478" s="93"/>
      <c r="AE4478" s="215"/>
      <c r="AF4478" s="93"/>
      <c r="AG4478" s="93"/>
      <c r="AH4478" s="93"/>
      <c r="AI4478" s="93"/>
      <c r="AJ4478" s="93"/>
    </row>
    <row r="4479" spans="30:36" ht="18">
      <c r="AD4479" s="93"/>
      <c r="AE4479" s="214"/>
      <c r="AF4479" s="93"/>
      <c r="AG4479" s="93"/>
      <c r="AH4479" s="93"/>
      <c r="AI4479" s="93"/>
      <c r="AJ4479" s="93"/>
    </row>
    <row r="4480" spans="30:36" ht="18">
      <c r="AD4480" s="93"/>
      <c r="AE4480" s="214"/>
      <c r="AF4480" s="93"/>
      <c r="AG4480" s="93"/>
      <c r="AH4480" s="93"/>
      <c r="AI4480" s="93"/>
      <c r="AJ4480" s="93"/>
    </row>
    <row r="4481" spans="30:36" ht="18">
      <c r="AD4481" s="93"/>
      <c r="AE4481" s="214"/>
      <c r="AF4481" s="93"/>
      <c r="AG4481" s="93"/>
      <c r="AH4481" s="93"/>
      <c r="AI4481" s="93"/>
      <c r="AJ4481" s="93"/>
    </row>
    <row r="4482" spans="30:36" ht="18">
      <c r="AD4482" s="93"/>
      <c r="AE4482" s="214"/>
      <c r="AF4482" s="93"/>
      <c r="AG4482" s="93"/>
      <c r="AH4482" s="93"/>
      <c r="AI4482" s="93"/>
      <c r="AJ4482" s="93"/>
    </row>
    <row r="4483" spans="30:36" ht="18">
      <c r="AD4483" s="93"/>
      <c r="AE4483" s="214"/>
      <c r="AF4483" s="93"/>
      <c r="AG4483" s="93"/>
      <c r="AH4483" s="93"/>
      <c r="AI4483" s="93"/>
      <c r="AJ4483" s="93"/>
    </row>
    <row r="4484" spans="30:36" ht="18">
      <c r="AD4484" s="93"/>
      <c r="AE4484" s="214"/>
      <c r="AF4484" s="93"/>
      <c r="AG4484" s="93"/>
      <c r="AH4484" s="93"/>
      <c r="AI4484" s="93"/>
      <c r="AJ4484" s="93"/>
    </row>
    <row r="4485" spans="30:36" ht="18">
      <c r="AD4485" s="93"/>
      <c r="AE4485" s="214"/>
      <c r="AF4485" s="93"/>
      <c r="AG4485" s="93"/>
      <c r="AH4485" s="93"/>
      <c r="AI4485" s="93"/>
      <c r="AJ4485" s="93"/>
    </row>
    <row r="4486" spans="30:36" ht="18">
      <c r="AD4486" s="93"/>
      <c r="AE4486" s="214"/>
      <c r="AF4486" s="93"/>
      <c r="AG4486" s="93"/>
      <c r="AH4486" s="93"/>
      <c r="AI4486" s="93"/>
      <c r="AJ4486" s="93"/>
    </row>
    <row r="4487" spans="30:36" ht="18">
      <c r="AD4487" s="93"/>
      <c r="AE4487" s="214"/>
      <c r="AF4487" s="93"/>
      <c r="AG4487" s="93"/>
      <c r="AH4487" s="93"/>
      <c r="AI4487" s="93"/>
      <c r="AJ4487" s="93"/>
    </row>
    <row r="4488" spans="30:36" ht="18">
      <c r="AD4488" s="93"/>
      <c r="AE4488" s="214"/>
      <c r="AF4488" s="93"/>
      <c r="AG4488" s="93"/>
      <c r="AH4488" s="93"/>
      <c r="AI4488" s="93"/>
      <c r="AJ4488" s="93"/>
    </row>
    <row r="4489" spans="30:36" ht="18">
      <c r="AD4489" s="93"/>
      <c r="AE4489" s="214"/>
      <c r="AF4489" s="93"/>
      <c r="AG4489" s="93"/>
      <c r="AH4489" s="93"/>
      <c r="AI4489" s="93"/>
      <c r="AJ4489" s="93"/>
    </row>
    <row r="4490" spans="30:36" ht="18">
      <c r="AD4490" s="93"/>
      <c r="AE4490" s="214"/>
      <c r="AF4490" s="93"/>
      <c r="AG4490" s="93"/>
      <c r="AH4490" s="93"/>
      <c r="AI4490" s="93"/>
      <c r="AJ4490" s="93"/>
    </row>
    <row r="4491" spans="30:36" ht="18">
      <c r="AD4491" s="93"/>
      <c r="AE4491" s="214"/>
      <c r="AF4491" s="93"/>
      <c r="AG4491" s="93"/>
      <c r="AH4491" s="93"/>
      <c r="AI4491" s="93"/>
      <c r="AJ4491" s="93"/>
    </row>
    <row r="4492" spans="30:36" ht="18">
      <c r="AD4492" s="93"/>
      <c r="AE4492" s="214"/>
      <c r="AF4492" s="93"/>
      <c r="AG4492" s="93"/>
      <c r="AH4492" s="93"/>
      <c r="AI4492" s="93"/>
      <c r="AJ4492" s="93"/>
    </row>
    <row r="4493" spans="30:36" ht="18">
      <c r="AD4493" s="93"/>
      <c r="AE4493" s="214"/>
      <c r="AF4493" s="93"/>
      <c r="AG4493" s="93"/>
      <c r="AH4493" s="93"/>
      <c r="AI4493" s="93"/>
      <c r="AJ4493" s="93"/>
    </row>
    <row r="4494" spans="30:36" ht="18">
      <c r="AD4494" s="93"/>
      <c r="AE4494" s="215"/>
      <c r="AF4494" s="93"/>
      <c r="AG4494" s="93"/>
      <c r="AH4494" s="93"/>
      <c r="AI4494" s="93"/>
      <c r="AJ4494" s="93"/>
    </row>
    <row r="4495" spans="30:36" ht="18">
      <c r="AD4495" s="93"/>
      <c r="AE4495" s="214"/>
      <c r="AF4495" s="93"/>
      <c r="AG4495" s="93"/>
      <c r="AH4495" s="93"/>
      <c r="AI4495" s="93"/>
      <c r="AJ4495" s="93"/>
    </row>
    <row r="4496" spans="30:36" ht="18">
      <c r="AD4496" s="93"/>
      <c r="AE4496" s="214"/>
      <c r="AF4496" s="93"/>
      <c r="AG4496" s="93"/>
      <c r="AH4496" s="93"/>
      <c r="AI4496" s="93"/>
      <c r="AJ4496" s="93"/>
    </row>
    <row r="4497" spans="30:36" ht="18">
      <c r="AD4497" s="93"/>
      <c r="AE4497" s="214"/>
      <c r="AF4497" s="93"/>
      <c r="AG4497" s="93"/>
      <c r="AH4497" s="93"/>
      <c r="AI4497" s="93"/>
      <c r="AJ4497" s="93"/>
    </row>
    <row r="4498" spans="30:36" ht="18">
      <c r="AD4498" s="93"/>
      <c r="AE4498" s="214"/>
      <c r="AF4498" s="93"/>
      <c r="AG4498" s="93"/>
      <c r="AH4498" s="93"/>
      <c r="AI4498" s="93"/>
      <c r="AJ4498" s="93"/>
    </row>
    <row r="4499" spans="30:36" ht="18">
      <c r="AD4499" s="93"/>
      <c r="AE4499" s="214"/>
      <c r="AF4499" s="93"/>
      <c r="AG4499" s="93"/>
      <c r="AH4499" s="93"/>
      <c r="AI4499" s="93"/>
      <c r="AJ4499" s="93"/>
    </row>
    <row r="4500" spans="30:36" ht="18">
      <c r="AD4500" s="93"/>
      <c r="AE4500" s="214"/>
      <c r="AF4500" s="93"/>
      <c r="AG4500" s="93"/>
      <c r="AH4500" s="93"/>
      <c r="AI4500" s="93"/>
      <c r="AJ4500" s="93"/>
    </row>
    <row r="4501" spans="30:36" ht="18">
      <c r="AD4501" s="93"/>
      <c r="AE4501" s="214"/>
      <c r="AF4501" s="93"/>
      <c r="AG4501" s="93"/>
      <c r="AH4501" s="93"/>
      <c r="AI4501" s="93"/>
      <c r="AJ4501" s="93"/>
    </row>
    <row r="4502" spans="30:36" ht="18">
      <c r="AD4502" s="93"/>
      <c r="AE4502" s="215"/>
      <c r="AF4502" s="93"/>
      <c r="AG4502" s="93"/>
      <c r="AH4502" s="93"/>
      <c r="AI4502" s="93"/>
      <c r="AJ4502" s="93"/>
    </row>
    <row r="4503" spans="30:36" ht="18">
      <c r="AD4503" s="93"/>
      <c r="AE4503" s="215"/>
      <c r="AF4503" s="93"/>
      <c r="AG4503" s="93"/>
      <c r="AH4503" s="93"/>
      <c r="AI4503" s="93"/>
      <c r="AJ4503" s="93"/>
    </row>
    <row r="4504" spans="30:36" ht="18">
      <c r="AD4504" s="93"/>
      <c r="AE4504" s="214"/>
      <c r="AF4504" s="93"/>
      <c r="AG4504" s="93"/>
      <c r="AH4504" s="93"/>
      <c r="AI4504" s="93"/>
      <c r="AJ4504" s="93"/>
    </row>
    <row r="4505" spans="30:36" ht="18">
      <c r="AD4505" s="93"/>
      <c r="AE4505" s="214"/>
      <c r="AF4505" s="93"/>
      <c r="AG4505" s="93"/>
      <c r="AH4505" s="93"/>
      <c r="AI4505" s="93"/>
      <c r="AJ4505" s="93"/>
    </row>
    <row r="4506" spans="30:36" ht="18">
      <c r="AD4506" s="93"/>
      <c r="AE4506" s="214"/>
      <c r="AF4506" s="93"/>
      <c r="AG4506" s="93"/>
      <c r="AH4506" s="93"/>
      <c r="AI4506" s="93"/>
      <c r="AJ4506" s="93"/>
    </row>
    <row r="4507" spans="30:36" ht="18">
      <c r="AD4507" s="93"/>
      <c r="AE4507" s="214"/>
      <c r="AF4507" s="93"/>
      <c r="AG4507" s="93"/>
      <c r="AH4507" s="93"/>
      <c r="AI4507" s="93"/>
      <c r="AJ4507" s="93"/>
    </row>
    <row r="4508" spans="30:36" ht="18">
      <c r="AD4508" s="93"/>
      <c r="AE4508" s="214"/>
      <c r="AF4508" s="93"/>
      <c r="AG4508" s="93"/>
      <c r="AH4508" s="93"/>
      <c r="AI4508" s="93"/>
      <c r="AJ4508" s="93"/>
    </row>
    <row r="4509" spans="30:36" ht="18">
      <c r="AD4509" s="93"/>
      <c r="AE4509" s="214"/>
      <c r="AF4509" s="93"/>
      <c r="AG4509" s="93"/>
      <c r="AH4509" s="93"/>
      <c r="AI4509" s="93"/>
      <c r="AJ4509" s="93"/>
    </row>
    <row r="4510" spans="30:36" ht="18">
      <c r="AD4510" s="93"/>
      <c r="AE4510" s="214"/>
      <c r="AF4510" s="93"/>
      <c r="AG4510" s="93"/>
      <c r="AH4510" s="93"/>
      <c r="AI4510" s="93"/>
      <c r="AJ4510" s="93"/>
    </row>
    <row r="4511" spans="30:36" ht="18">
      <c r="AD4511" s="93"/>
      <c r="AE4511" s="214"/>
      <c r="AF4511" s="93"/>
      <c r="AG4511" s="93"/>
      <c r="AH4511" s="93"/>
      <c r="AI4511" s="93"/>
      <c r="AJ4511" s="93"/>
    </row>
    <row r="4512" spans="30:36" ht="18">
      <c r="AD4512" s="93"/>
      <c r="AE4512" s="214"/>
      <c r="AF4512" s="93"/>
      <c r="AG4512" s="93"/>
      <c r="AH4512" s="93"/>
      <c r="AI4512" s="93"/>
      <c r="AJ4512" s="93"/>
    </row>
    <row r="4513" spans="30:36" ht="18">
      <c r="AD4513" s="93"/>
      <c r="AE4513" s="214"/>
      <c r="AF4513" s="93"/>
      <c r="AG4513" s="93"/>
      <c r="AH4513" s="93"/>
      <c r="AI4513" s="93"/>
      <c r="AJ4513" s="93"/>
    </row>
    <row r="4514" spans="30:36" ht="18">
      <c r="AD4514" s="93"/>
      <c r="AE4514" s="214"/>
      <c r="AF4514" s="93"/>
      <c r="AG4514" s="93"/>
      <c r="AH4514" s="93"/>
      <c r="AI4514" s="93"/>
      <c r="AJ4514" s="93"/>
    </row>
    <row r="4515" spans="30:36" ht="18">
      <c r="AD4515" s="93"/>
      <c r="AE4515" s="214"/>
      <c r="AF4515" s="93"/>
      <c r="AG4515" s="93"/>
      <c r="AH4515" s="93"/>
      <c r="AI4515" s="93"/>
      <c r="AJ4515" s="93"/>
    </row>
    <row r="4516" spans="30:36" ht="18">
      <c r="AD4516" s="93"/>
      <c r="AE4516" s="214"/>
      <c r="AF4516" s="93"/>
      <c r="AG4516" s="93"/>
      <c r="AH4516" s="93"/>
      <c r="AI4516" s="93"/>
      <c r="AJ4516" s="93"/>
    </row>
    <row r="4517" spans="30:36" ht="18">
      <c r="AD4517" s="93"/>
      <c r="AE4517" s="214"/>
      <c r="AF4517" s="93"/>
      <c r="AG4517" s="93"/>
      <c r="AH4517" s="93"/>
      <c r="AI4517" s="93"/>
      <c r="AJ4517" s="93"/>
    </row>
    <row r="4518" spans="30:36" ht="18">
      <c r="AD4518" s="93"/>
      <c r="AE4518" s="215"/>
      <c r="AF4518" s="93"/>
      <c r="AG4518" s="93"/>
      <c r="AH4518" s="93"/>
      <c r="AI4518" s="93"/>
      <c r="AJ4518" s="93"/>
    </row>
    <row r="4519" spans="30:36" ht="18">
      <c r="AD4519" s="93"/>
      <c r="AE4519" s="214"/>
      <c r="AF4519" s="93"/>
      <c r="AG4519" s="93"/>
      <c r="AH4519" s="93"/>
      <c r="AI4519" s="93"/>
      <c r="AJ4519" s="93"/>
    </row>
    <row r="4520" spans="30:36" ht="18">
      <c r="AD4520" s="93"/>
      <c r="AE4520" s="214"/>
      <c r="AF4520" s="93"/>
      <c r="AG4520" s="93"/>
      <c r="AH4520" s="93"/>
      <c r="AI4520" s="93"/>
      <c r="AJ4520" s="93"/>
    </row>
    <row r="4521" spans="30:36" ht="18">
      <c r="AD4521" s="93"/>
      <c r="AE4521" s="214"/>
      <c r="AF4521" s="93"/>
      <c r="AG4521" s="93"/>
      <c r="AH4521" s="93"/>
      <c r="AI4521" s="93"/>
      <c r="AJ4521" s="93"/>
    </row>
    <row r="4522" spans="30:36" ht="18">
      <c r="AD4522" s="93"/>
      <c r="AE4522" s="214"/>
      <c r="AF4522" s="93"/>
      <c r="AG4522" s="93"/>
      <c r="AH4522" s="93"/>
      <c r="AI4522" s="93"/>
      <c r="AJ4522" s="93"/>
    </row>
    <row r="4523" spans="30:36" ht="18">
      <c r="AD4523" s="93"/>
      <c r="AE4523" s="214"/>
      <c r="AF4523" s="93"/>
      <c r="AG4523" s="93"/>
      <c r="AH4523" s="93"/>
      <c r="AI4523" s="93"/>
      <c r="AJ4523" s="93"/>
    </row>
    <row r="4524" spans="30:36" ht="18">
      <c r="AD4524" s="93"/>
      <c r="AE4524" s="214"/>
      <c r="AF4524" s="93"/>
      <c r="AG4524" s="93"/>
      <c r="AH4524" s="93"/>
      <c r="AI4524" s="93"/>
      <c r="AJ4524" s="93"/>
    </row>
    <row r="4525" spans="30:36" ht="18">
      <c r="AD4525" s="93"/>
      <c r="AE4525" s="214"/>
      <c r="AF4525" s="93"/>
      <c r="AG4525" s="93"/>
      <c r="AH4525" s="93"/>
      <c r="AI4525" s="93"/>
      <c r="AJ4525" s="93"/>
    </row>
    <row r="4526" spans="30:36" ht="18">
      <c r="AD4526" s="93"/>
      <c r="AE4526" s="214"/>
      <c r="AF4526" s="93"/>
      <c r="AG4526" s="93"/>
      <c r="AH4526" s="93"/>
      <c r="AI4526" s="93"/>
      <c r="AJ4526" s="93"/>
    </row>
    <row r="4527" spans="30:36" ht="18">
      <c r="AD4527" s="93"/>
      <c r="AE4527" s="214"/>
      <c r="AF4527" s="93"/>
      <c r="AG4527" s="93"/>
      <c r="AH4527" s="93"/>
      <c r="AI4527" s="93"/>
      <c r="AJ4527" s="93"/>
    </row>
    <row r="4528" spans="30:36" ht="18">
      <c r="AD4528" s="93"/>
      <c r="AE4528" s="214"/>
      <c r="AF4528" s="93"/>
      <c r="AG4528" s="93"/>
      <c r="AH4528" s="93"/>
      <c r="AI4528" s="93"/>
      <c r="AJ4528" s="93"/>
    </row>
    <row r="4529" spans="30:36" ht="18">
      <c r="AD4529" s="93"/>
      <c r="AE4529" s="214"/>
      <c r="AF4529" s="93"/>
      <c r="AG4529" s="93"/>
      <c r="AH4529" s="93"/>
      <c r="AI4529" s="93"/>
      <c r="AJ4529" s="93"/>
    </row>
    <row r="4530" spans="30:36" ht="18">
      <c r="AD4530" s="93"/>
      <c r="AE4530" s="214"/>
      <c r="AF4530" s="93"/>
      <c r="AG4530" s="93"/>
      <c r="AH4530" s="93"/>
      <c r="AI4530" s="93"/>
      <c r="AJ4530" s="93"/>
    </row>
    <row r="4531" spans="30:36" ht="18">
      <c r="AD4531" s="93"/>
      <c r="AE4531" s="214"/>
      <c r="AF4531" s="93"/>
      <c r="AG4531" s="93"/>
      <c r="AH4531" s="93"/>
      <c r="AI4531" s="93"/>
      <c r="AJ4531" s="93"/>
    </row>
    <row r="4532" spans="30:36" ht="18">
      <c r="AD4532" s="93"/>
      <c r="AE4532" s="214"/>
      <c r="AF4532" s="93"/>
      <c r="AG4532" s="93"/>
      <c r="AH4532" s="93"/>
      <c r="AI4532" s="93"/>
      <c r="AJ4532" s="93"/>
    </row>
    <row r="4533" spans="30:36" ht="18">
      <c r="AD4533" s="93"/>
      <c r="AE4533" s="214"/>
      <c r="AF4533" s="93"/>
      <c r="AG4533" s="93"/>
      <c r="AH4533" s="93"/>
      <c r="AI4533" s="93"/>
      <c r="AJ4533" s="93"/>
    </row>
    <row r="4534" spans="30:36" ht="18">
      <c r="AD4534" s="93"/>
      <c r="AE4534" s="214"/>
      <c r="AF4534" s="93"/>
      <c r="AG4534" s="93"/>
      <c r="AH4534" s="93"/>
      <c r="AI4534" s="93"/>
      <c r="AJ4534" s="93"/>
    </row>
    <row r="4535" spans="30:36" ht="18">
      <c r="AD4535" s="93"/>
      <c r="AE4535" s="214"/>
      <c r="AF4535" s="93"/>
      <c r="AG4535" s="93"/>
      <c r="AH4535" s="93"/>
      <c r="AI4535" s="93"/>
      <c r="AJ4535" s="93"/>
    </row>
    <row r="4536" spans="30:36" ht="18">
      <c r="AD4536" s="93"/>
      <c r="AE4536" s="214"/>
      <c r="AF4536" s="93"/>
      <c r="AG4536" s="93"/>
      <c r="AH4536" s="93"/>
      <c r="AI4536" s="93"/>
      <c r="AJ4536" s="93"/>
    </row>
    <row r="4537" spans="30:36" ht="18">
      <c r="AD4537" s="93"/>
      <c r="AE4537" s="214"/>
      <c r="AF4537" s="93"/>
      <c r="AG4537" s="93"/>
      <c r="AH4537" s="93"/>
      <c r="AI4537" s="93"/>
      <c r="AJ4537" s="93"/>
    </row>
    <row r="4538" spans="30:36" ht="18">
      <c r="AD4538" s="93"/>
      <c r="AE4538" s="214"/>
      <c r="AF4538" s="93"/>
      <c r="AG4538" s="93"/>
      <c r="AH4538" s="93"/>
      <c r="AI4538" s="93"/>
      <c r="AJ4538" s="93"/>
    </row>
    <row r="4539" spans="30:36" ht="18">
      <c r="AD4539" s="93"/>
      <c r="AE4539" s="214"/>
      <c r="AF4539" s="93"/>
      <c r="AG4539" s="93"/>
      <c r="AH4539" s="93"/>
      <c r="AI4539" s="93"/>
      <c r="AJ4539" s="93"/>
    </row>
    <row r="4540" spans="30:36" ht="18">
      <c r="AD4540" s="93"/>
      <c r="AE4540" s="214"/>
      <c r="AF4540" s="93"/>
      <c r="AG4540" s="93"/>
      <c r="AH4540" s="93"/>
      <c r="AI4540" s="93"/>
      <c r="AJ4540" s="93"/>
    </row>
    <row r="4541" spans="30:36" ht="18">
      <c r="AD4541" s="93"/>
      <c r="AE4541" s="214"/>
      <c r="AF4541" s="93"/>
      <c r="AG4541" s="93"/>
      <c r="AH4541" s="93"/>
      <c r="AI4541" s="93"/>
      <c r="AJ4541" s="93"/>
    </row>
    <row r="4542" spans="30:36" ht="18">
      <c r="AD4542" s="93"/>
      <c r="AE4542" s="214"/>
      <c r="AF4542" s="93"/>
      <c r="AG4542" s="93"/>
      <c r="AH4542" s="93"/>
      <c r="AI4542" s="93"/>
      <c r="AJ4542" s="93"/>
    </row>
    <row r="4543" spans="30:36" ht="18">
      <c r="AD4543" s="93"/>
      <c r="AE4543" s="214"/>
      <c r="AF4543" s="93"/>
      <c r="AG4543" s="93"/>
      <c r="AH4543" s="93"/>
      <c r="AI4543" s="93"/>
      <c r="AJ4543" s="93"/>
    </row>
    <row r="4544" spans="30:36" ht="18">
      <c r="AD4544" s="93"/>
      <c r="AE4544" s="214"/>
      <c r="AF4544" s="93"/>
      <c r="AG4544" s="93"/>
      <c r="AH4544" s="93"/>
      <c r="AI4544" s="93"/>
      <c r="AJ4544" s="93"/>
    </row>
    <row r="4545" spans="30:36" ht="18">
      <c r="AD4545" s="93"/>
      <c r="AE4545" s="214"/>
      <c r="AF4545" s="93"/>
      <c r="AG4545" s="93"/>
      <c r="AH4545" s="93"/>
      <c r="AI4545" s="93"/>
      <c r="AJ4545" s="93"/>
    </row>
    <row r="4546" spans="30:36" ht="18">
      <c r="AD4546" s="93"/>
      <c r="AE4546" s="214"/>
      <c r="AF4546" s="93"/>
      <c r="AG4546" s="93"/>
      <c r="AH4546" s="93"/>
      <c r="AI4546" s="93"/>
      <c r="AJ4546" s="93"/>
    </row>
    <row r="4547" spans="30:36" ht="18">
      <c r="AD4547" s="93"/>
      <c r="AE4547" s="214"/>
      <c r="AF4547" s="93"/>
      <c r="AG4547" s="93"/>
      <c r="AH4547" s="93"/>
      <c r="AI4547" s="93"/>
      <c r="AJ4547" s="93"/>
    </row>
    <row r="4548" spans="30:36" ht="18">
      <c r="AD4548" s="93"/>
      <c r="AE4548" s="215"/>
      <c r="AF4548" s="93"/>
      <c r="AG4548" s="93"/>
      <c r="AH4548" s="93"/>
      <c r="AI4548" s="93"/>
      <c r="AJ4548" s="93"/>
    </row>
    <row r="4549" spans="30:36" ht="18">
      <c r="AD4549" s="93"/>
      <c r="AE4549" s="214"/>
      <c r="AF4549" s="93"/>
      <c r="AG4549" s="93"/>
      <c r="AH4549" s="93"/>
      <c r="AI4549" s="93"/>
      <c r="AJ4549" s="93"/>
    </row>
    <row r="4550" spans="30:36" ht="18">
      <c r="AD4550" s="93"/>
      <c r="AE4550" s="214"/>
      <c r="AF4550" s="93"/>
      <c r="AG4550" s="93"/>
      <c r="AH4550" s="93"/>
      <c r="AI4550" s="93"/>
      <c r="AJ4550" s="93"/>
    </row>
    <row r="4551" spans="30:36" ht="18">
      <c r="AD4551" s="93"/>
      <c r="AE4551" s="214"/>
      <c r="AF4551" s="93"/>
      <c r="AG4551" s="93"/>
      <c r="AH4551" s="93"/>
      <c r="AI4551" s="93"/>
      <c r="AJ4551" s="93"/>
    </row>
    <row r="4552" spans="30:36" ht="18">
      <c r="AD4552" s="93"/>
      <c r="AE4552" s="214"/>
      <c r="AF4552" s="93"/>
      <c r="AG4552" s="93"/>
      <c r="AH4552" s="93"/>
      <c r="AI4552" s="93"/>
      <c r="AJ4552" s="93"/>
    </row>
    <row r="4553" spans="30:36" ht="18">
      <c r="AD4553" s="93"/>
      <c r="AE4553" s="214"/>
      <c r="AF4553" s="93"/>
      <c r="AG4553" s="93"/>
      <c r="AH4553" s="93"/>
      <c r="AI4553" s="93"/>
      <c r="AJ4553" s="93"/>
    </row>
    <row r="4554" spans="30:36" ht="18">
      <c r="AD4554" s="93"/>
      <c r="AE4554" s="214"/>
      <c r="AF4554" s="93"/>
      <c r="AG4554" s="93"/>
      <c r="AH4554" s="93"/>
      <c r="AI4554" s="93"/>
      <c r="AJ4554" s="93"/>
    </row>
    <row r="4555" spans="30:36" ht="18">
      <c r="AD4555" s="93"/>
      <c r="AE4555" s="214"/>
      <c r="AF4555" s="93"/>
      <c r="AG4555" s="93"/>
      <c r="AH4555" s="93"/>
      <c r="AI4555" s="93"/>
      <c r="AJ4555" s="93"/>
    </row>
    <row r="4556" spans="30:36" ht="18">
      <c r="AD4556" s="93"/>
      <c r="AE4556" s="214"/>
      <c r="AF4556" s="93"/>
      <c r="AG4556" s="93"/>
      <c r="AH4556" s="93"/>
      <c r="AI4556" s="93"/>
      <c r="AJ4556" s="93"/>
    </row>
    <row r="4557" spans="30:36" ht="18">
      <c r="AD4557" s="93"/>
      <c r="AE4557" s="214"/>
      <c r="AF4557" s="93"/>
      <c r="AG4557" s="93"/>
      <c r="AH4557" s="93"/>
      <c r="AI4557" s="93"/>
      <c r="AJ4557" s="93"/>
    </row>
    <row r="4558" spans="30:36" ht="18">
      <c r="AD4558" s="93"/>
      <c r="AE4558" s="214"/>
      <c r="AF4558" s="93"/>
      <c r="AG4558" s="93"/>
      <c r="AH4558" s="93"/>
      <c r="AI4558" s="93"/>
      <c r="AJ4558" s="93"/>
    </row>
    <row r="4559" spans="30:36" ht="18">
      <c r="AD4559" s="93"/>
      <c r="AE4559" s="214"/>
      <c r="AF4559" s="93"/>
      <c r="AG4559" s="93"/>
      <c r="AH4559" s="93"/>
      <c r="AI4559" s="93"/>
      <c r="AJ4559" s="93"/>
    </row>
    <row r="4560" spans="30:36" ht="18">
      <c r="AD4560" s="93"/>
      <c r="AE4560" s="214"/>
      <c r="AF4560" s="93"/>
      <c r="AG4560" s="93"/>
      <c r="AH4560" s="93"/>
      <c r="AI4560" s="93"/>
      <c r="AJ4560" s="93"/>
    </row>
    <row r="4561" spans="30:36" ht="18">
      <c r="AD4561" s="93"/>
      <c r="AE4561" s="214"/>
      <c r="AF4561" s="93"/>
      <c r="AG4561" s="93"/>
      <c r="AH4561" s="93"/>
      <c r="AI4561" s="93"/>
      <c r="AJ4561" s="93"/>
    </row>
    <row r="4562" spans="30:36" ht="18">
      <c r="AD4562" s="93"/>
      <c r="AE4562" s="214"/>
      <c r="AF4562" s="93"/>
      <c r="AG4562" s="93"/>
      <c r="AH4562" s="93"/>
      <c r="AI4562" s="93"/>
      <c r="AJ4562" s="93"/>
    </row>
    <row r="4563" spans="30:36" ht="18">
      <c r="AD4563" s="93"/>
      <c r="AE4563" s="214"/>
      <c r="AF4563" s="93"/>
      <c r="AG4563" s="93"/>
      <c r="AH4563" s="93"/>
      <c r="AI4563" s="93"/>
      <c r="AJ4563" s="93"/>
    </row>
    <row r="4564" spans="30:36" ht="18">
      <c r="AD4564" s="93"/>
      <c r="AE4564" s="214"/>
      <c r="AF4564" s="93"/>
      <c r="AG4564" s="93"/>
      <c r="AH4564" s="93"/>
      <c r="AI4564" s="93"/>
      <c r="AJ4564" s="93"/>
    </row>
    <row r="4565" spans="30:36" ht="18">
      <c r="AD4565" s="93"/>
      <c r="AE4565" s="214"/>
      <c r="AF4565" s="93"/>
      <c r="AG4565" s="93"/>
      <c r="AH4565" s="93"/>
      <c r="AI4565" s="93"/>
      <c r="AJ4565" s="93"/>
    </row>
    <row r="4566" spans="30:36" ht="18">
      <c r="AD4566" s="93"/>
      <c r="AE4566" s="214"/>
      <c r="AF4566" s="93"/>
      <c r="AG4566" s="93"/>
      <c r="AH4566" s="93"/>
      <c r="AI4566" s="93"/>
      <c r="AJ4566" s="93"/>
    </row>
    <row r="4567" spans="30:36" ht="18">
      <c r="AD4567" s="93"/>
      <c r="AE4567" s="214"/>
      <c r="AF4567" s="93"/>
      <c r="AG4567" s="93"/>
      <c r="AH4567" s="93"/>
      <c r="AI4567" s="93"/>
      <c r="AJ4567" s="93"/>
    </row>
    <row r="4568" spans="30:36" ht="18">
      <c r="AD4568" s="93"/>
      <c r="AE4568" s="214"/>
      <c r="AF4568" s="93"/>
      <c r="AG4568" s="93"/>
      <c r="AH4568" s="93"/>
      <c r="AI4568" s="93"/>
      <c r="AJ4568" s="93"/>
    </row>
    <row r="4569" spans="30:36" ht="18">
      <c r="AD4569" s="93"/>
      <c r="AE4569" s="214"/>
      <c r="AF4569" s="93"/>
      <c r="AG4569" s="93"/>
      <c r="AH4569" s="93"/>
      <c r="AI4569" s="93"/>
      <c r="AJ4569" s="93"/>
    </row>
    <row r="4570" spans="30:36" ht="18">
      <c r="AD4570" s="93"/>
      <c r="AE4570" s="214"/>
      <c r="AF4570" s="93"/>
      <c r="AG4570" s="93"/>
      <c r="AH4570" s="93"/>
      <c r="AI4570" s="93"/>
      <c r="AJ4570" s="93"/>
    </row>
    <row r="4571" spans="30:36" ht="18">
      <c r="AD4571" s="93"/>
      <c r="AE4571" s="214"/>
      <c r="AF4571" s="93"/>
      <c r="AG4571" s="93"/>
      <c r="AH4571" s="93"/>
      <c r="AI4571" s="93"/>
      <c r="AJ4571" s="93"/>
    </row>
    <row r="4572" spans="30:36" ht="18">
      <c r="AD4572" s="93"/>
      <c r="AE4572" s="214"/>
      <c r="AF4572" s="93"/>
      <c r="AG4572" s="93"/>
      <c r="AH4572" s="93"/>
      <c r="AI4572" s="93"/>
      <c r="AJ4572" s="93"/>
    </row>
    <row r="4573" spans="30:36" ht="18">
      <c r="AD4573" s="93"/>
      <c r="AE4573" s="214"/>
      <c r="AF4573" s="93"/>
      <c r="AG4573" s="93"/>
      <c r="AH4573" s="93"/>
      <c r="AI4573" s="93"/>
      <c r="AJ4573" s="93"/>
    </row>
    <row r="4574" spans="30:36" ht="18">
      <c r="AD4574" s="93"/>
      <c r="AE4574" s="214"/>
      <c r="AF4574" s="93"/>
      <c r="AG4574" s="93"/>
      <c r="AH4574" s="93"/>
      <c r="AI4574" s="93"/>
      <c r="AJ4574" s="93"/>
    </row>
    <row r="4575" spans="30:36" ht="18">
      <c r="AD4575" s="93"/>
      <c r="AE4575" s="214"/>
      <c r="AF4575" s="93"/>
      <c r="AG4575" s="93"/>
      <c r="AH4575" s="93"/>
      <c r="AI4575" s="93"/>
      <c r="AJ4575" s="93"/>
    </row>
    <row r="4576" spans="30:36" ht="18">
      <c r="AD4576" s="93"/>
      <c r="AE4576" s="214"/>
      <c r="AF4576" s="93"/>
      <c r="AG4576" s="93"/>
      <c r="AH4576" s="93"/>
      <c r="AI4576" s="93"/>
      <c r="AJ4576" s="93"/>
    </row>
    <row r="4577" spans="30:36" ht="18">
      <c r="AD4577" s="93"/>
      <c r="AE4577" s="214"/>
      <c r="AF4577" s="93"/>
      <c r="AG4577" s="93"/>
      <c r="AH4577" s="93"/>
      <c r="AI4577" s="93"/>
      <c r="AJ4577" s="93"/>
    </row>
    <row r="4578" spans="30:36" ht="18">
      <c r="AD4578" s="93"/>
      <c r="AE4578" s="214"/>
      <c r="AF4578" s="93"/>
      <c r="AG4578" s="93"/>
      <c r="AH4578" s="93"/>
      <c r="AI4578" s="93"/>
      <c r="AJ4578" s="93"/>
    </row>
    <row r="4579" spans="30:36" ht="18">
      <c r="AD4579" s="93"/>
      <c r="AE4579" s="214"/>
      <c r="AF4579" s="93"/>
      <c r="AG4579" s="93"/>
      <c r="AH4579" s="93"/>
      <c r="AI4579" s="93"/>
      <c r="AJ4579" s="93"/>
    </row>
    <row r="4580" spans="30:36" ht="18">
      <c r="AD4580" s="93"/>
      <c r="AE4580" s="214"/>
      <c r="AF4580" s="93"/>
      <c r="AG4580" s="93"/>
      <c r="AH4580" s="93"/>
      <c r="AI4580" s="93"/>
      <c r="AJ4580" s="93"/>
    </row>
    <row r="4581" spans="30:36" ht="18">
      <c r="AD4581" s="93"/>
      <c r="AE4581" s="214"/>
      <c r="AF4581" s="93"/>
      <c r="AG4581" s="93"/>
      <c r="AH4581" s="93"/>
      <c r="AI4581" s="93"/>
      <c r="AJ4581" s="93"/>
    </row>
    <row r="4582" spans="30:36" ht="18">
      <c r="AD4582" s="93"/>
      <c r="AE4582" s="214"/>
      <c r="AF4582" s="93"/>
      <c r="AG4582" s="93"/>
      <c r="AH4582" s="93"/>
      <c r="AI4582" s="93"/>
      <c r="AJ4582" s="93"/>
    </row>
    <row r="4583" spans="30:36" ht="18">
      <c r="AD4583" s="93"/>
      <c r="AE4583" s="214"/>
      <c r="AF4583" s="93"/>
      <c r="AG4583" s="93"/>
      <c r="AH4583" s="93"/>
      <c r="AI4583" s="93"/>
      <c r="AJ4583" s="93"/>
    </row>
    <row r="4584" spans="30:36" ht="18">
      <c r="AD4584" s="93"/>
      <c r="AE4584" s="215"/>
      <c r="AF4584" s="93"/>
      <c r="AG4584" s="93"/>
      <c r="AH4584" s="93"/>
      <c r="AI4584" s="93"/>
      <c r="AJ4584" s="93"/>
    </row>
    <row r="4585" spans="30:36" ht="18">
      <c r="AD4585" s="93"/>
      <c r="AE4585" s="215"/>
      <c r="AF4585" s="93"/>
      <c r="AG4585" s="93"/>
      <c r="AH4585" s="93"/>
      <c r="AI4585" s="93"/>
      <c r="AJ4585" s="93"/>
    </row>
    <row r="4586" spans="30:36" ht="18">
      <c r="AD4586" s="93"/>
      <c r="AE4586" s="214"/>
      <c r="AF4586" s="93"/>
      <c r="AG4586" s="93"/>
      <c r="AH4586" s="93"/>
      <c r="AI4586" s="93"/>
      <c r="AJ4586" s="93"/>
    </row>
    <row r="4587" spans="30:36" ht="18">
      <c r="AD4587" s="93"/>
      <c r="AE4587" s="214"/>
      <c r="AF4587" s="93"/>
      <c r="AG4587" s="93"/>
      <c r="AH4587" s="93"/>
      <c r="AI4587" s="93"/>
      <c r="AJ4587" s="93"/>
    </row>
    <row r="4588" spans="30:36" ht="18">
      <c r="AD4588" s="93"/>
      <c r="AE4588" s="214"/>
      <c r="AF4588" s="93"/>
      <c r="AG4588" s="93"/>
      <c r="AH4588" s="93"/>
      <c r="AI4588" s="93"/>
      <c r="AJ4588" s="93"/>
    </row>
    <row r="4589" spans="30:36" ht="18">
      <c r="AD4589" s="93"/>
      <c r="AE4589" s="214"/>
      <c r="AF4589" s="93"/>
      <c r="AG4589" s="93"/>
      <c r="AH4589" s="93"/>
      <c r="AI4589" s="93"/>
      <c r="AJ4589" s="93"/>
    </row>
    <row r="4590" spans="30:36" ht="18">
      <c r="AD4590" s="93"/>
      <c r="AE4590" s="214"/>
      <c r="AF4590" s="93"/>
      <c r="AG4590" s="93"/>
      <c r="AH4590" s="93"/>
      <c r="AI4590" s="93"/>
      <c r="AJ4590" s="93"/>
    </row>
    <row r="4591" spans="30:36" ht="18">
      <c r="AD4591" s="93"/>
      <c r="AE4591" s="214"/>
      <c r="AF4591" s="93"/>
      <c r="AG4591" s="93"/>
      <c r="AH4591" s="93"/>
      <c r="AI4591" s="93"/>
      <c r="AJ4591" s="93"/>
    </row>
    <row r="4592" spans="30:36" ht="18">
      <c r="AD4592" s="93"/>
      <c r="AE4592" s="214"/>
      <c r="AF4592" s="93"/>
      <c r="AG4592" s="93"/>
      <c r="AH4592" s="93"/>
      <c r="AI4592" s="93"/>
      <c r="AJ4592" s="93"/>
    </row>
    <row r="4593" spans="30:36" ht="18">
      <c r="AD4593" s="93"/>
      <c r="AE4593" s="214"/>
      <c r="AF4593" s="93"/>
      <c r="AG4593" s="93"/>
      <c r="AH4593" s="93"/>
      <c r="AI4593" s="93"/>
      <c r="AJ4593" s="93"/>
    </row>
    <row r="4594" spans="30:36" ht="18">
      <c r="AD4594" s="93"/>
      <c r="AE4594" s="214"/>
      <c r="AF4594" s="93"/>
      <c r="AG4594" s="93"/>
      <c r="AH4594" s="93"/>
      <c r="AI4594" s="93"/>
      <c r="AJ4594" s="93"/>
    </row>
    <row r="4595" spans="30:36" ht="18">
      <c r="AD4595" s="93"/>
      <c r="AE4595" s="215"/>
      <c r="AF4595" s="93"/>
      <c r="AG4595" s="93"/>
      <c r="AH4595" s="93"/>
      <c r="AI4595" s="93"/>
      <c r="AJ4595" s="93"/>
    </row>
    <row r="4596" spans="30:36" ht="18">
      <c r="AD4596" s="93"/>
      <c r="AE4596" s="214"/>
      <c r="AF4596" s="93"/>
      <c r="AG4596" s="93"/>
      <c r="AH4596" s="93"/>
      <c r="AI4596" s="93"/>
      <c r="AJ4596" s="93"/>
    </row>
    <row r="4597" spans="30:36" ht="18">
      <c r="AD4597" s="93"/>
      <c r="AE4597" s="214"/>
      <c r="AF4597" s="93"/>
      <c r="AG4597" s="93"/>
      <c r="AH4597" s="93"/>
      <c r="AI4597" s="93"/>
      <c r="AJ4597" s="93"/>
    </row>
    <row r="4598" spans="30:36" ht="18">
      <c r="AD4598" s="93"/>
      <c r="AE4598" s="214"/>
      <c r="AF4598" s="93"/>
      <c r="AG4598" s="93"/>
      <c r="AH4598" s="93"/>
      <c r="AI4598" s="93"/>
      <c r="AJ4598" s="93"/>
    </row>
    <row r="4599" spans="30:36" ht="18">
      <c r="AD4599" s="93"/>
      <c r="AE4599" s="214"/>
      <c r="AF4599" s="93"/>
      <c r="AG4599" s="93"/>
      <c r="AH4599" s="93"/>
      <c r="AI4599" s="93"/>
      <c r="AJ4599" s="93"/>
    </row>
    <row r="4600" spans="30:36" ht="18">
      <c r="AD4600" s="93"/>
      <c r="AE4600" s="214"/>
      <c r="AF4600" s="93"/>
      <c r="AG4600" s="93"/>
      <c r="AH4600" s="93"/>
      <c r="AI4600" s="93"/>
      <c r="AJ4600" s="93"/>
    </row>
    <row r="4601" spans="30:36" ht="18">
      <c r="AD4601" s="93"/>
      <c r="AE4601" s="214"/>
      <c r="AF4601" s="93"/>
      <c r="AG4601" s="93"/>
      <c r="AH4601" s="93"/>
      <c r="AI4601" s="93"/>
      <c r="AJ4601" s="93"/>
    </row>
    <row r="4602" spans="30:36" ht="18">
      <c r="AD4602" s="93"/>
      <c r="AE4602" s="214"/>
      <c r="AF4602" s="93"/>
      <c r="AG4602" s="93"/>
      <c r="AH4602" s="93"/>
      <c r="AI4602" s="93"/>
      <c r="AJ4602" s="93"/>
    </row>
    <row r="4603" spans="30:36" ht="18">
      <c r="AD4603" s="93"/>
      <c r="AE4603" s="214"/>
      <c r="AF4603" s="93"/>
      <c r="AG4603" s="93"/>
      <c r="AH4603" s="93"/>
      <c r="AI4603" s="93"/>
      <c r="AJ4603" s="93"/>
    </row>
    <row r="4604" spans="30:36" ht="18">
      <c r="AD4604" s="93"/>
      <c r="AE4604" s="214"/>
      <c r="AF4604" s="93"/>
      <c r="AG4604" s="93"/>
      <c r="AH4604" s="93"/>
      <c r="AI4604" s="93"/>
      <c r="AJ4604" s="93"/>
    </row>
    <row r="4605" spans="30:36" ht="18">
      <c r="AD4605" s="93"/>
      <c r="AE4605" s="214"/>
      <c r="AF4605" s="93"/>
      <c r="AG4605" s="93"/>
      <c r="AH4605" s="93"/>
      <c r="AI4605" s="93"/>
      <c r="AJ4605" s="93"/>
    </row>
    <row r="4606" spans="30:36" ht="18">
      <c r="AD4606" s="93"/>
      <c r="AE4606" s="214"/>
      <c r="AF4606" s="93"/>
      <c r="AG4606" s="93"/>
      <c r="AH4606" s="93"/>
      <c r="AI4606" s="93"/>
      <c r="AJ4606" s="93"/>
    </row>
    <row r="4607" spans="30:36" ht="18">
      <c r="AD4607" s="93"/>
      <c r="AE4607" s="214"/>
      <c r="AF4607" s="93"/>
      <c r="AG4607" s="93"/>
      <c r="AH4607" s="93"/>
      <c r="AI4607" s="93"/>
      <c r="AJ4607" s="93"/>
    </row>
    <row r="4608" spans="30:36" ht="18">
      <c r="AD4608" s="93"/>
      <c r="AE4608" s="214"/>
      <c r="AF4608" s="93"/>
      <c r="AG4608" s="93"/>
      <c r="AH4608" s="93"/>
      <c r="AI4608" s="93"/>
      <c r="AJ4608" s="93"/>
    </row>
    <row r="4609" spans="30:36" ht="18">
      <c r="AD4609" s="93"/>
      <c r="AE4609" s="214"/>
      <c r="AF4609" s="93"/>
      <c r="AG4609" s="93"/>
      <c r="AH4609" s="93"/>
      <c r="AI4609" s="93"/>
      <c r="AJ4609" s="93"/>
    </row>
    <row r="4610" spans="30:36" ht="18">
      <c r="AD4610" s="93"/>
      <c r="AE4610" s="215"/>
      <c r="AF4610" s="93"/>
      <c r="AG4610" s="93"/>
      <c r="AH4610" s="93"/>
      <c r="AI4610" s="93"/>
      <c r="AJ4610" s="93"/>
    </row>
    <row r="4611" spans="30:36" ht="18">
      <c r="AD4611" s="93"/>
      <c r="AE4611" s="214"/>
      <c r="AF4611" s="93"/>
      <c r="AG4611" s="93"/>
      <c r="AH4611" s="93"/>
      <c r="AI4611" s="93"/>
      <c r="AJ4611" s="93"/>
    </row>
    <row r="4612" spans="30:36" ht="18">
      <c r="AD4612" s="93"/>
      <c r="AE4612" s="214"/>
      <c r="AF4612" s="93"/>
      <c r="AG4612" s="93"/>
      <c r="AH4612" s="93"/>
      <c r="AI4612" s="93"/>
      <c r="AJ4612" s="93"/>
    </row>
    <row r="4613" spans="30:36" ht="18">
      <c r="AD4613" s="93"/>
      <c r="AE4613" s="214"/>
      <c r="AF4613" s="93"/>
      <c r="AG4613" s="93"/>
      <c r="AH4613" s="93"/>
      <c r="AI4613" s="93"/>
      <c r="AJ4613" s="93"/>
    </row>
    <row r="4614" spans="30:36" ht="18">
      <c r="AD4614" s="93"/>
      <c r="AE4614" s="214"/>
      <c r="AF4614" s="93"/>
      <c r="AG4614" s="93"/>
      <c r="AH4614" s="93"/>
      <c r="AI4614" s="93"/>
      <c r="AJ4614" s="93"/>
    </row>
    <row r="4615" spans="30:36" ht="18">
      <c r="AD4615" s="93"/>
      <c r="AE4615" s="214"/>
      <c r="AF4615" s="93"/>
      <c r="AG4615" s="93"/>
      <c r="AH4615" s="93"/>
      <c r="AI4615" s="93"/>
      <c r="AJ4615" s="93"/>
    </row>
    <row r="4616" spans="30:36" ht="18">
      <c r="AD4616" s="93"/>
      <c r="AE4616" s="214"/>
      <c r="AF4616" s="93"/>
      <c r="AG4616" s="93"/>
      <c r="AH4616" s="93"/>
      <c r="AI4616" s="93"/>
      <c r="AJ4616" s="93"/>
    </row>
    <row r="4617" spans="30:36" ht="18">
      <c r="AD4617" s="93"/>
      <c r="AE4617" s="214"/>
      <c r="AF4617" s="93"/>
      <c r="AG4617" s="93"/>
      <c r="AH4617" s="93"/>
      <c r="AI4617" s="93"/>
      <c r="AJ4617" s="93"/>
    </row>
    <row r="4618" spans="30:36" ht="18">
      <c r="AD4618" s="93"/>
      <c r="AE4618" s="214"/>
      <c r="AF4618" s="93"/>
      <c r="AG4618" s="93"/>
      <c r="AH4618" s="93"/>
      <c r="AI4618" s="93"/>
      <c r="AJ4618" s="93"/>
    </row>
    <row r="4619" spans="30:36" ht="18">
      <c r="AD4619" s="93"/>
      <c r="AE4619" s="214"/>
      <c r="AF4619" s="93"/>
      <c r="AG4619" s="93"/>
      <c r="AH4619" s="93"/>
      <c r="AI4619" s="93"/>
      <c r="AJ4619" s="93"/>
    </row>
    <row r="4620" spans="30:36" ht="18">
      <c r="AD4620" s="93"/>
      <c r="AE4620" s="215"/>
      <c r="AF4620" s="93"/>
      <c r="AG4620" s="93"/>
      <c r="AH4620" s="93"/>
      <c r="AI4620" s="93"/>
      <c r="AJ4620" s="93"/>
    </row>
    <row r="4621" spans="30:36" ht="18">
      <c r="AD4621" s="93"/>
      <c r="AE4621" s="214"/>
      <c r="AF4621" s="93"/>
      <c r="AG4621" s="93"/>
      <c r="AH4621" s="93"/>
      <c r="AI4621" s="93"/>
      <c r="AJ4621" s="93"/>
    </row>
    <row r="4622" spans="30:36" ht="18">
      <c r="AD4622" s="93"/>
      <c r="AE4622" s="214"/>
      <c r="AF4622" s="93"/>
      <c r="AG4622" s="93"/>
      <c r="AH4622" s="93"/>
      <c r="AI4622" s="93"/>
      <c r="AJ4622" s="93"/>
    </row>
    <row r="4623" spans="30:36" ht="18">
      <c r="AD4623" s="93"/>
      <c r="AE4623" s="214"/>
      <c r="AF4623" s="93"/>
      <c r="AG4623" s="93"/>
      <c r="AH4623" s="93"/>
      <c r="AI4623" s="93"/>
      <c r="AJ4623" s="93"/>
    </row>
    <row r="4624" spans="30:36" ht="18">
      <c r="AD4624" s="93"/>
      <c r="AE4624" s="214"/>
      <c r="AF4624" s="93"/>
      <c r="AG4624" s="93"/>
      <c r="AH4624" s="93"/>
      <c r="AI4624" s="93"/>
      <c r="AJ4624" s="93"/>
    </row>
    <row r="4625" spans="30:36" ht="18">
      <c r="AD4625" s="93"/>
      <c r="AE4625" s="214"/>
      <c r="AF4625" s="93"/>
      <c r="AG4625" s="93"/>
      <c r="AH4625" s="93"/>
      <c r="AI4625" s="93"/>
      <c r="AJ4625" s="93"/>
    </row>
    <row r="4626" spans="30:36" ht="18">
      <c r="AD4626" s="93"/>
      <c r="AE4626" s="214"/>
      <c r="AF4626" s="93"/>
      <c r="AG4626" s="93"/>
      <c r="AH4626" s="93"/>
      <c r="AI4626" s="93"/>
      <c r="AJ4626" s="93"/>
    </row>
    <row r="4627" spans="30:36" ht="18">
      <c r="AD4627" s="93"/>
      <c r="AE4627" s="214"/>
      <c r="AF4627" s="93"/>
      <c r="AG4627" s="93"/>
      <c r="AH4627" s="93"/>
      <c r="AI4627" s="93"/>
      <c r="AJ4627" s="93"/>
    </row>
    <row r="4628" spans="30:36" ht="18">
      <c r="AD4628" s="93"/>
      <c r="AE4628" s="214"/>
      <c r="AF4628" s="93"/>
      <c r="AG4628" s="93"/>
      <c r="AH4628" s="93"/>
      <c r="AI4628" s="93"/>
      <c r="AJ4628" s="93"/>
    </row>
    <row r="4629" spans="30:36" ht="18">
      <c r="AD4629" s="93"/>
      <c r="AE4629" s="214"/>
      <c r="AF4629" s="93"/>
      <c r="AG4629" s="93"/>
      <c r="AH4629" s="93"/>
      <c r="AI4629" s="93"/>
      <c r="AJ4629" s="93"/>
    </row>
    <row r="4630" spans="30:36" ht="18">
      <c r="AD4630" s="93"/>
      <c r="AE4630" s="214"/>
      <c r="AF4630" s="93"/>
      <c r="AG4630" s="93"/>
      <c r="AH4630" s="93"/>
      <c r="AI4630" s="93"/>
      <c r="AJ4630" s="93"/>
    </row>
    <row r="4631" spans="30:36" ht="18">
      <c r="AD4631" s="93"/>
      <c r="AE4631" s="214"/>
      <c r="AF4631" s="93"/>
      <c r="AG4631" s="93"/>
      <c r="AH4631" s="93"/>
      <c r="AI4631" s="93"/>
      <c r="AJ4631" s="93"/>
    </row>
    <row r="4632" spans="30:36" ht="18">
      <c r="AD4632" s="93"/>
      <c r="AE4632" s="214"/>
      <c r="AF4632" s="93"/>
      <c r="AG4632" s="93"/>
      <c r="AH4632" s="93"/>
      <c r="AI4632" s="93"/>
      <c r="AJ4632" s="93"/>
    </row>
    <row r="4633" spans="30:36" ht="18">
      <c r="AD4633" s="93"/>
      <c r="AE4633" s="214"/>
      <c r="AF4633" s="93"/>
      <c r="AG4633" s="93"/>
      <c r="AH4633" s="93"/>
      <c r="AI4633" s="93"/>
      <c r="AJ4633" s="93"/>
    </row>
    <row r="4634" spans="30:36" ht="18">
      <c r="AD4634" s="93"/>
      <c r="AE4634" s="214"/>
      <c r="AF4634" s="93"/>
      <c r="AG4634" s="93"/>
      <c r="AH4634" s="93"/>
      <c r="AI4634" s="93"/>
      <c r="AJ4634" s="93"/>
    </row>
    <row r="4635" spans="30:36" ht="18">
      <c r="AD4635" s="93"/>
      <c r="AE4635" s="214"/>
      <c r="AF4635" s="93"/>
      <c r="AG4635" s="93"/>
      <c r="AH4635" s="93"/>
      <c r="AI4635" s="93"/>
      <c r="AJ4635" s="93"/>
    </row>
    <row r="4636" spans="30:36" ht="18">
      <c r="AD4636" s="93"/>
      <c r="AE4636" s="215"/>
      <c r="AF4636" s="93"/>
      <c r="AG4636" s="93"/>
      <c r="AH4636" s="93"/>
      <c r="AI4636" s="93"/>
      <c r="AJ4636" s="93"/>
    </row>
    <row r="4637" spans="30:36" ht="18">
      <c r="AD4637" s="93"/>
      <c r="AE4637" s="214"/>
      <c r="AF4637" s="93"/>
      <c r="AG4637" s="93"/>
      <c r="AH4637" s="93"/>
      <c r="AI4637" s="93"/>
      <c r="AJ4637" s="93"/>
    </row>
    <row r="4638" spans="30:36" ht="18">
      <c r="AD4638" s="93"/>
      <c r="AE4638" s="214"/>
      <c r="AF4638" s="93"/>
      <c r="AG4638" s="93"/>
      <c r="AH4638" s="93"/>
      <c r="AI4638" s="93"/>
      <c r="AJ4638" s="93"/>
    </row>
    <row r="4639" spans="30:36" ht="18">
      <c r="AD4639" s="93"/>
      <c r="AE4639" s="214"/>
      <c r="AF4639" s="93"/>
      <c r="AG4639" s="93"/>
      <c r="AH4639" s="93"/>
      <c r="AI4639" s="93"/>
      <c r="AJ4639" s="93"/>
    </row>
    <row r="4640" spans="30:36" ht="18">
      <c r="AD4640" s="93"/>
      <c r="AE4640" s="214"/>
      <c r="AF4640" s="93"/>
      <c r="AG4640" s="93"/>
      <c r="AH4640" s="93"/>
      <c r="AI4640" s="93"/>
      <c r="AJ4640" s="93"/>
    </row>
    <row r="4641" spans="30:36" ht="18">
      <c r="AD4641" s="93"/>
      <c r="AE4641" s="214"/>
      <c r="AF4641" s="93"/>
      <c r="AG4641" s="93"/>
      <c r="AH4641" s="93"/>
      <c r="AI4641" s="93"/>
      <c r="AJ4641" s="93"/>
    </row>
    <row r="4642" spans="30:36" ht="18">
      <c r="AD4642" s="93"/>
      <c r="AE4642" s="214"/>
      <c r="AF4642" s="93"/>
      <c r="AG4642" s="93"/>
      <c r="AH4642" s="93"/>
      <c r="AI4642" s="93"/>
      <c r="AJ4642" s="93"/>
    </row>
    <row r="4643" spans="30:36" ht="18">
      <c r="AD4643" s="93"/>
      <c r="AE4643" s="214"/>
      <c r="AF4643" s="93"/>
      <c r="AG4643" s="93"/>
      <c r="AH4643" s="93"/>
      <c r="AI4643" s="93"/>
      <c r="AJ4643" s="93"/>
    </row>
    <row r="4644" spans="30:36" ht="18">
      <c r="AD4644" s="93"/>
      <c r="AE4644" s="214"/>
      <c r="AF4644" s="93"/>
      <c r="AG4644" s="93"/>
      <c r="AH4644" s="93"/>
      <c r="AI4644" s="93"/>
      <c r="AJ4644" s="93"/>
    </row>
    <row r="4645" spans="30:36" ht="18">
      <c r="AD4645" s="93"/>
      <c r="AE4645" s="214"/>
      <c r="AF4645" s="93"/>
      <c r="AG4645" s="93"/>
      <c r="AH4645" s="93"/>
      <c r="AI4645" s="93"/>
      <c r="AJ4645" s="93"/>
    </row>
    <row r="4646" spans="30:36" ht="18">
      <c r="AD4646" s="93"/>
      <c r="AE4646" s="214"/>
      <c r="AF4646" s="93"/>
      <c r="AG4646" s="93"/>
      <c r="AH4646" s="93"/>
      <c r="AI4646" s="93"/>
      <c r="AJ4646" s="93"/>
    </row>
    <row r="4647" spans="30:36" ht="18">
      <c r="AD4647" s="93"/>
      <c r="AE4647" s="214"/>
      <c r="AF4647" s="93"/>
      <c r="AG4647" s="93"/>
      <c r="AH4647" s="93"/>
      <c r="AI4647" s="93"/>
      <c r="AJ4647" s="93"/>
    </row>
    <row r="4648" spans="30:36" ht="18">
      <c r="AD4648" s="93"/>
      <c r="AE4648" s="214"/>
      <c r="AF4648" s="93"/>
      <c r="AG4648" s="93"/>
      <c r="AH4648" s="93"/>
      <c r="AI4648" s="93"/>
      <c r="AJ4648" s="93"/>
    </row>
    <row r="4649" spans="30:36" ht="18">
      <c r="AD4649" s="93"/>
      <c r="AE4649" s="214"/>
      <c r="AF4649" s="93"/>
      <c r="AG4649" s="93"/>
      <c r="AH4649" s="93"/>
      <c r="AI4649" s="93"/>
      <c r="AJ4649" s="93"/>
    </row>
    <row r="4650" spans="30:36" ht="18">
      <c r="AD4650" s="93"/>
      <c r="AE4650" s="214"/>
      <c r="AF4650" s="93"/>
      <c r="AG4650" s="93"/>
      <c r="AH4650" s="93"/>
      <c r="AI4650" s="93"/>
      <c r="AJ4650" s="93"/>
    </row>
    <row r="4651" spans="30:36" ht="18">
      <c r="AD4651" s="93"/>
      <c r="AE4651" s="214"/>
      <c r="AF4651" s="93"/>
      <c r="AG4651" s="93"/>
      <c r="AH4651" s="93"/>
      <c r="AI4651" s="93"/>
      <c r="AJ4651" s="93"/>
    </row>
    <row r="4652" spans="30:36" ht="18">
      <c r="AD4652" s="93"/>
      <c r="AE4652" s="214"/>
      <c r="AF4652" s="93"/>
      <c r="AG4652" s="93"/>
      <c r="AH4652" s="93"/>
      <c r="AI4652" s="93"/>
      <c r="AJ4652" s="93"/>
    </row>
    <row r="4653" spans="30:36" ht="18">
      <c r="AD4653" s="93"/>
      <c r="AE4653" s="214"/>
      <c r="AF4653" s="93"/>
      <c r="AG4653" s="93"/>
      <c r="AH4653" s="93"/>
      <c r="AI4653" s="93"/>
      <c r="AJ4653" s="93"/>
    </row>
    <row r="4654" spans="30:36" ht="18">
      <c r="AD4654" s="93"/>
      <c r="AE4654" s="214"/>
      <c r="AF4654" s="93"/>
      <c r="AG4654" s="93"/>
      <c r="AH4654" s="93"/>
      <c r="AI4654" s="93"/>
      <c r="AJ4654" s="93"/>
    </row>
    <row r="4655" spans="30:36" ht="18">
      <c r="AD4655" s="93"/>
      <c r="AE4655" s="214"/>
      <c r="AF4655" s="93"/>
      <c r="AG4655" s="93"/>
      <c r="AH4655" s="93"/>
      <c r="AI4655" s="93"/>
      <c r="AJ4655" s="93"/>
    </row>
    <row r="4656" spans="30:36" ht="18">
      <c r="AD4656" s="93"/>
      <c r="AE4656" s="214"/>
      <c r="AF4656" s="93"/>
      <c r="AG4656" s="93"/>
      <c r="AH4656" s="93"/>
      <c r="AI4656" s="93"/>
      <c r="AJ4656" s="93"/>
    </row>
    <row r="4657" spans="30:36" ht="18">
      <c r="AD4657" s="93"/>
      <c r="AE4657" s="214"/>
      <c r="AF4657" s="93"/>
      <c r="AG4657" s="93"/>
      <c r="AH4657" s="93"/>
      <c r="AI4657" s="93"/>
      <c r="AJ4657" s="93"/>
    </row>
    <row r="4658" spans="30:36" ht="18">
      <c r="AD4658" s="93"/>
      <c r="AE4658" s="214"/>
      <c r="AF4658" s="93"/>
      <c r="AG4658" s="93"/>
      <c r="AH4658" s="93"/>
      <c r="AI4658" s="93"/>
      <c r="AJ4658" s="93"/>
    </row>
    <row r="4659" spans="30:36" ht="18">
      <c r="AD4659" s="93"/>
      <c r="AE4659" s="214"/>
      <c r="AF4659" s="93"/>
      <c r="AG4659" s="93"/>
      <c r="AH4659" s="93"/>
      <c r="AI4659" s="93"/>
      <c r="AJ4659" s="93"/>
    </row>
    <row r="4660" spans="30:36" ht="18">
      <c r="AD4660" s="93"/>
      <c r="AE4660" s="214"/>
      <c r="AF4660" s="93"/>
      <c r="AG4660" s="93"/>
      <c r="AH4660" s="93"/>
      <c r="AI4660" s="93"/>
      <c r="AJ4660" s="93"/>
    </row>
    <row r="4661" spans="30:36" ht="18">
      <c r="AD4661" s="93"/>
      <c r="AE4661" s="214"/>
      <c r="AF4661" s="93"/>
      <c r="AG4661" s="93"/>
      <c r="AH4661" s="93"/>
      <c r="AI4661" s="93"/>
      <c r="AJ4661" s="93"/>
    </row>
    <row r="4662" spans="30:36" ht="18">
      <c r="AD4662" s="93"/>
      <c r="AE4662" s="214"/>
      <c r="AF4662" s="93"/>
      <c r="AG4662" s="93"/>
      <c r="AH4662" s="93"/>
      <c r="AI4662" s="93"/>
      <c r="AJ4662" s="93"/>
    </row>
    <row r="4663" spans="30:36" ht="18">
      <c r="AD4663" s="93"/>
      <c r="AE4663" s="214"/>
      <c r="AF4663" s="93"/>
      <c r="AG4663" s="93"/>
      <c r="AH4663" s="93"/>
      <c r="AI4663" s="93"/>
      <c r="AJ4663" s="93"/>
    </row>
    <row r="4664" spans="30:36" ht="18">
      <c r="AD4664" s="93"/>
      <c r="AE4664" s="214"/>
      <c r="AF4664" s="93"/>
      <c r="AG4664" s="93"/>
      <c r="AH4664" s="93"/>
      <c r="AI4664" s="93"/>
      <c r="AJ4664" s="93"/>
    </row>
    <row r="4665" spans="30:36" ht="18">
      <c r="AD4665" s="93"/>
      <c r="AE4665" s="214"/>
      <c r="AF4665" s="93"/>
      <c r="AG4665" s="93"/>
      <c r="AH4665" s="93"/>
      <c r="AI4665" s="93"/>
      <c r="AJ4665" s="93"/>
    </row>
    <row r="4666" spans="30:36" ht="18">
      <c r="AD4666" s="93"/>
      <c r="AE4666" s="214"/>
      <c r="AF4666" s="93"/>
      <c r="AG4666" s="93"/>
      <c r="AH4666" s="93"/>
      <c r="AI4666" s="93"/>
      <c r="AJ4666" s="93"/>
    </row>
    <row r="4667" spans="30:36" ht="18">
      <c r="AD4667" s="93"/>
      <c r="AE4667" s="214"/>
      <c r="AF4667" s="93"/>
      <c r="AG4667" s="93"/>
      <c r="AH4667" s="93"/>
      <c r="AI4667" s="93"/>
      <c r="AJ4667" s="93"/>
    </row>
    <row r="4668" spans="30:36" ht="18">
      <c r="AD4668" s="93"/>
      <c r="AE4668" s="214"/>
      <c r="AF4668" s="93"/>
      <c r="AG4668" s="93"/>
      <c r="AH4668" s="93"/>
      <c r="AI4668" s="93"/>
      <c r="AJ4668" s="93"/>
    </row>
    <row r="4669" spans="30:36" ht="18">
      <c r="AD4669" s="93"/>
      <c r="AE4669" s="214"/>
      <c r="AF4669" s="93"/>
      <c r="AG4669" s="93"/>
      <c r="AH4669" s="93"/>
      <c r="AI4669" s="93"/>
      <c r="AJ4669" s="93"/>
    </row>
    <row r="4670" spans="30:36" ht="18">
      <c r="AD4670" s="93"/>
      <c r="AE4670" s="214"/>
      <c r="AF4670" s="93"/>
      <c r="AG4670" s="93"/>
      <c r="AH4670" s="93"/>
      <c r="AI4670" s="93"/>
      <c r="AJ4670" s="93"/>
    </row>
    <row r="4671" spans="30:36" ht="18">
      <c r="AD4671" s="93"/>
      <c r="AE4671" s="214"/>
      <c r="AF4671" s="93"/>
      <c r="AG4671" s="93"/>
      <c r="AH4671" s="93"/>
      <c r="AI4671" s="93"/>
      <c r="AJ4671" s="93"/>
    </row>
    <row r="4672" spans="30:36" ht="18">
      <c r="AD4672" s="93"/>
      <c r="AE4672" s="215"/>
      <c r="AF4672" s="93"/>
      <c r="AG4672" s="93"/>
      <c r="AH4672" s="93"/>
      <c r="AI4672" s="93"/>
      <c r="AJ4672" s="93"/>
    </row>
    <row r="4673" spans="30:36" ht="18">
      <c r="AD4673" s="93"/>
      <c r="AE4673" s="215"/>
      <c r="AF4673" s="93"/>
      <c r="AG4673" s="93"/>
      <c r="AH4673" s="93"/>
      <c r="AI4673" s="93"/>
      <c r="AJ4673" s="93"/>
    </row>
    <row r="4674" spans="30:36" ht="18">
      <c r="AD4674" s="93"/>
      <c r="AE4674" s="214"/>
      <c r="AF4674" s="93"/>
      <c r="AG4674" s="93"/>
      <c r="AH4674" s="93"/>
      <c r="AI4674" s="93"/>
      <c r="AJ4674" s="93"/>
    </row>
    <row r="4675" spans="30:36" ht="18">
      <c r="AD4675" s="93"/>
      <c r="AE4675" s="214"/>
      <c r="AF4675" s="93"/>
      <c r="AG4675" s="93"/>
      <c r="AH4675" s="93"/>
      <c r="AI4675" s="93"/>
      <c r="AJ4675" s="93"/>
    </row>
    <row r="4676" spans="30:36" ht="18">
      <c r="AD4676" s="93"/>
      <c r="AE4676" s="214"/>
      <c r="AF4676" s="93"/>
      <c r="AG4676" s="93"/>
      <c r="AH4676" s="93"/>
      <c r="AI4676" s="93"/>
      <c r="AJ4676" s="93"/>
    </row>
    <row r="4677" spans="30:36" ht="18">
      <c r="AD4677" s="93"/>
      <c r="AE4677" s="214"/>
      <c r="AF4677" s="93"/>
      <c r="AG4677" s="93"/>
      <c r="AH4677" s="93"/>
      <c r="AI4677" s="93"/>
      <c r="AJ4677" s="93"/>
    </row>
    <row r="4678" spans="30:36" ht="18">
      <c r="AD4678" s="93"/>
      <c r="AE4678" s="214"/>
      <c r="AF4678" s="93"/>
      <c r="AG4678" s="93"/>
      <c r="AH4678" s="93"/>
      <c r="AI4678" s="93"/>
      <c r="AJ4678" s="93"/>
    </row>
    <row r="4679" spans="30:36" ht="18">
      <c r="AD4679" s="93"/>
      <c r="AE4679" s="215"/>
      <c r="AF4679" s="93"/>
      <c r="AG4679" s="93"/>
      <c r="AH4679" s="93"/>
      <c r="AI4679" s="93"/>
      <c r="AJ4679" s="93"/>
    </row>
    <row r="4680" spans="30:36" ht="18">
      <c r="AD4680" s="93"/>
      <c r="AE4680" s="215"/>
      <c r="AF4680" s="93"/>
      <c r="AG4680" s="93"/>
      <c r="AH4680" s="93"/>
      <c r="AI4680" s="93"/>
      <c r="AJ4680" s="93"/>
    </row>
    <row r="4681" spans="30:36" ht="18">
      <c r="AD4681" s="93"/>
      <c r="AE4681" s="215"/>
      <c r="AF4681" s="93"/>
      <c r="AG4681" s="93"/>
      <c r="AH4681" s="93"/>
      <c r="AI4681" s="93"/>
      <c r="AJ4681" s="93"/>
    </row>
    <row r="4682" spans="30:36" ht="18">
      <c r="AD4682" s="93"/>
      <c r="AE4682" s="214"/>
      <c r="AF4682" s="93"/>
      <c r="AG4682" s="93"/>
      <c r="AH4682" s="93"/>
      <c r="AI4682" s="93"/>
      <c r="AJ4682" s="93"/>
    </row>
    <row r="4683" spans="30:36" ht="18">
      <c r="AD4683" s="93"/>
      <c r="AE4683" s="214"/>
      <c r="AF4683" s="93"/>
      <c r="AG4683" s="93"/>
      <c r="AH4683" s="93"/>
      <c r="AI4683" s="93"/>
      <c r="AJ4683" s="93"/>
    </row>
    <row r="4684" spans="30:36" ht="18">
      <c r="AD4684" s="93"/>
      <c r="AE4684" s="214"/>
      <c r="AF4684" s="93"/>
      <c r="AG4684" s="93"/>
      <c r="AH4684" s="93"/>
      <c r="AI4684" s="93"/>
      <c r="AJ4684" s="93"/>
    </row>
    <row r="4685" spans="30:36" ht="18">
      <c r="AD4685" s="93"/>
      <c r="AE4685" s="214"/>
      <c r="AF4685" s="93"/>
      <c r="AG4685" s="93"/>
      <c r="AH4685" s="93"/>
      <c r="AI4685" s="93"/>
      <c r="AJ4685" s="93"/>
    </row>
    <row r="4686" spans="30:36" ht="18">
      <c r="AD4686" s="93"/>
      <c r="AE4686" s="214"/>
      <c r="AF4686" s="93"/>
      <c r="AG4686" s="93"/>
      <c r="AH4686" s="93"/>
      <c r="AI4686" s="93"/>
      <c r="AJ4686" s="93"/>
    </row>
    <row r="4687" spans="30:36" ht="18">
      <c r="AD4687" s="93"/>
      <c r="AE4687" s="214"/>
      <c r="AF4687" s="93"/>
      <c r="AG4687" s="93"/>
      <c r="AH4687" s="93"/>
      <c r="AI4687" s="93"/>
      <c r="AJ4687" s="93"/>
    </row>
    <row r="4688" spans="30:36" ht="18">
      <c r="AD4688" s="93"/>
      <c r="AE4688" s="215"/>
      <c r="AF4688" s="93"/>
      <c r="AG4688" s="93"/>
      <c r="AH4688" s="93"/>
      <c r="AI4688" s="93"/>
      <c r="AJ4688" s="93"/>
    </row>
    <row r="4689" spans="30:36" ht="18">
      <c r="AD4689" s="93"/>
      <c r="AE4689" s="214"/>
      <c r="AF4689" s="93"/>
      <c r="AG4689" s="93"/>
      <c r="AH4689" s="93"/>
      <c r="AI4689" s="93"/>
      <c r="AJ4689" s="93"/>
    </row>
    <row r="4690" spans="30:36" ht="18">
      <c r="AD4690" s="93"/>
      <c r="AE4690" s="214"/>
      <c r="AF4690" s="93"/>
      <c r="AG4690" s="93"/>
      <c r="AH4690" s="93"/>
      <c r="AI4690" s="93"/>
      <c r="AJ4690" s="93"/>
    </row>
    <row r="4691" spans="30:36" ht="18">
      <c r="AD4691" s="93"/>
      <c r="AE4691" s="215"/>
      <c r="AF4691" s="93"/>
      <c r="AG4691" s="93"/>
      <c r="AH4691" s="93"/>
      <c r="AI4691" s="93"/>
      <c r="AJ4691" s="93"/>
    </row>
    <row r="4692" spans="30:36" ht="18">
      <c r="AD4692" s="93"/>
      <c r="AE4692" s="214"/>
      <c r="AF4692" s="93"/>
      <c r="AG4692" s="93"/>
      <c r="AH4692" s="93"/>
      <c r="AI4692" s="93"/>
      <c r="AJ4692" s="93"/>
    </row>
    <row r="4693" spans="30:36" ht="18">
      <c r="AD4693" s="93"/>
      <c r="AE4693" s="214"/>
      <c r="AF4693" s="93"/>
      <c r="AG4693" s="93"/>
      <c r="AH4693" s="93"/>
      <c r="AI4693" s="93"/>
      <c r="AJ4693" s="93"/>
    </row>
    <row r="4694" spans="30:36" ht="18">
      <c r="AD4694" s="93"/>
      <c r="AE4694" s="214"/>
      <c r="AF4694" s="93"/>
      <c r="AG4694" s="93"/>
      <c r="AH4694" s="93"/>
      <c r="AI4694" s="93"/>
      <c r="AJ4694" s="93"/>
    </row>
    <row r="4695" spans="30:36" ht="18">
      <c r="AD4695" s="93"/>
      <c r="AE4695" s="215"/>
      <c r="AF4695" s="93"/>
      <c r="AG4695" s="93"/>
      <c r="AH4695" s="93"/>
      <c r="AI4695" s="93"/>
      <c r="AJ4695" s="93"/>
    </row>
    <row r="4696" spans="30:36" ht="18">
      <c r="AD4696" s="93"/>
      <c r="AE4696" s="214"/>
      <c r="AF4696" s="93"/>
      <c r="AG4696" s="93"/>
      <c r="AH4696" s="93"/>
      <c r="AI4696" s="93"/>
      <c r="AJ4696" s="93"/>
    </row>
    <row r="4697" spans="30:36" ht="18">
      <c r="AD4697" s="93"/>
      <c r="AE4697" s="214"/>
      <c r="AF4697" s="93"/>
      <c r="AG4697" s="93"/>
      <c r="AH4697" s="93"/>
      <c r="AI4697" s="93"/>
      <c r="AJ4697" s="93"/>
    </row>
    <row r="4698" spans="30:36" ht="18">
      <c r="AD4698" s="93"/>
      <c r="AE4698" s="214"/>
      <c r="AF4698" s="93"/>
      <c r="AG4698" s="93"/>
      <c r="AH4698" s="93"/>
      <c r="AI4698" s="93"/>
      <c r="AJ4698" s="93"/>
    </row>
    <row r="4699" spans="30:36" ht="18">
      <c r="AD4699" s="93"/>
      <c r="AE4699" s="214"/>
      <c r="AF4699" s="93"/>
      <c r="AG4699" s="93"/>
      <c r="AH4699" s="93"/>
      <c r="AI4699" s="93"/>
      <c r="AJ4699" s="93"/>
    </row>
    <row r="4700" spans="30:36" ht="18">
      <c r="AD4700" s="93"/>
      <c r="AE4700" s="214"/>
      <c r="AF4700" s="93"/>
      <c r="AG4700" s="93"/>
      <c r="AH4700" s="93"/>
      <c r="AI4700" s="93"/>
      <c r="AJ4700" s="93"/>
    </row>
    <row r="4701" spans="30:36" ht="18">
      <c r="AD4701" s="93"/>
      <c r="AE4701" s="214"/>
      <c r="AF4701" s="93"/>
      <c r="AG4701" s="93"/>
      <c r="AH4701" s="93"/>
      <c r="AI4701" s="93"/>
      <c r="AJ4701" s="93"/>
    </row>
    <row r="4702" spans="30:36" ht="18">
      <c r="AD4702" s="93"/>
      <c r="AE4702" s="215"/>
      <c r="AF4702" s="93"/>
      <c r="AG4702" s="93"/>
      <c r="AH4702" s="93"/>
      <c r="AI4702" s="93"/>
      <c r="AJ4702" s="93"/>
    </row>
    <row r="4703" spans="30:36" ht="18">
      <c r="AD4703" s="93"/>
      <c r="AE4703" s="214"/>
      <c r="AF4703" s="93"/>
      <c r="AG4703" s="93"/>
      <c r="AH4703" s="93"/>
      <c r="AI4703" s="93"/>
      <c r="AJ4703" s="93"/>
    </row>
    <row r="4704" spans="30:36" ht="18">
      <c r="AD4704" s="93"/>
      <c r="AE4704" s="214"/>
      <c r="AF4704" s="93"/>
      <c r="AG4704" s="93"/>
      <c r="AH4704" s="93"/>
      <c r="AI4704" s="93"/>
      <c r="AJ4704" s="93"/>
    </row>
    <row r="4705" spans="30:36" ht="18">
      <c r="AD4705" s="93"/>
      <c r="AE4705" s="215"/>
      <c r="AF4705" s="93"/>
      <c r="AG4705" s="93"/>
      <c r="AH4705" s="93"/>
      <c r="AI4705" s="93"/>
      <c r="AJ4705" s="93"/>
    </row>
    <row r="4706" spans="30:36" ht="18">
      <c r="AD4706" s="93"/>
      <c r="AE4706" s="214"/>
      <c r="AF4706" s="93"/>
      <c r="AG4706" s="93"/>
      <c r="AH4706" s="93"/>
      <c r="AI4706" s="93"/>
      <c r="AJ4706" s="93"/>
    </row>
    <row r="4707" spans="30:36" ht="18">
      <c r="AD4707" s="93"/>
      <c r="AE4707" s="214"/>
      <c r="AF4707" s="93"/>
      <c r="AG4707" s="93"/>
      <c r="AH4707" s="93"/>
      <c r="AI4707" s="93"/>
      <c r="AJ4707" s="93"/>
    </row>
    <row r="4708" spans="30:36" ht="18">
      <c r="AD4708" s="93"/>
      <c r="AE4708" s="215"/>
      <c r="AF4708" s="93"/>
      <c r="AG4708" s="93"/>
      <c r="AH4708" s="93"/>
      <c r="AI4708" s="93"/>
      <c r="AJ4708" s="93"/>
    </row>
    <row r="4709" spans="30:36" ht="18">
      <c r="AD4709" s="93"/>
      <c r="AE4709" s="214"/>
      <c r="AF4709" s="93"/>
      <c r="AG4709" s="93"/>
      <c r="AH4709" s="93"/>
      <c r="AI4709" s="93"/>
      <c r="AJ4709" s="93"/>
    </row>
    <row r="4710" spans="30:36" ht="18">
      <c r="AD4710" s="93"/>
      <c r="AE4710" s="214"/>
      <c r="AF4710" s="93"/>
      <c r="AG4710" s="93"/>
      <c r="AH4710" s="93"/>
      <c r="AI4710" s="93"/>
      <c r="AJ4710" s="93"/>
    </row>
    <row r="4711" spans="30:36" ht="18">
      <c r="AD4711" s="93"/>
      <c r="AE4711" s="215"/>
      <c r="AF4711" s="93"/>
      <c r="AG4711" s="93"/>
      <c r="AH4711" s="93"/>
      <c r="AI4711" s="93"/>
      <c r="AJ4711" s="93"/>
    </row>
    <row r="4712" spans="30:36" ht="18">
      <c r="AD4712" s="93"/>
      <c r="AE4712" s="214"/>
      <c r="AF4712" s="93"/>
      <c r="AG4712" s="93"/>
      <c r="AH4712" s="93"/>
      <c r="AI4712" s="93"/>
      <c r="AJ4712" s="93"/>
    </row>
    <row r="4713" spans="30:36" ht="18">
      <c r="AD4713" s="93"/>
      <c r="AE4713" s="214"/>
      <c r="AF4713" s="93"/>
      <c r="AG4713" s="93"/>
      <c r="AH4713" s="93"/>
      <c r="AI4713" s="93"/>
      <c r="AJ4713" s="93"/>
    </row>
    <row r="4714" spans="30:36" ht="18">
      <c r="AD4714" s="93"/>
      <c r="AE4714" s="215"/>
      <c r="AF4714" s="93"/>
      <c r="AG4714" s="93"/>
      <c r="AH4714" s="93"/>
      <c r="AI4714" s="93"/>
      <c r="AJ4714" s="93"/>
    </row>
    <row r="4715" spans="30:36" ht="18">
      <c r="AD4715" s="93"/>
      <c r="AE4715" s="214"/>
      <c r="AF4715" s="93"/>
      <c r="AG4715" s="93"/>
      <c r="AH4715" s="93"/>
      <c r="AI4715" s="93"/>
      <c r="AJ4715" s="93"/>
    </row>
    <row r="4716" spans="30:36" ht="18">
      <c r="AD4716" s="93"/>
      <c r="AE4716" s="214"/>
      <c r="AF4716" s="93"/>
      <c r="AG4716" s="93"/>
      <c r="AH4716" s="93"/>
      <c r="AI4716" s="93"/>
      <c r="AJ4716" s="93"/>
    </row>
    <row r="4717" spans="30:36" ht="18">
      <c r="AD4717" s="93"/>
      <c r="AE4717" s="215"/>
      <c r="AF4717" s="93"/>
      <c r="AG4717" s="93"/>
      <c r="AH4717" s="93"/>
      <c r="AI4717" s="93"/>
      <c r="AJ4717" s="93"/>
    </row>
    <row r="4718" spans="30:36" ht="18">
      <c r="AD4718" s="93"/>
      <c r="AE4718" s="214"/>
      <c r="AF4718" s="93"/>
      <c r="AG4718" s="93"/>
      <c r="AH4718" s="93"/>
      <c r="AI4718" s="93"/>
      <c r="AJ4718" s="93"/>
    </row>
    <row r="4719" spans="30:36" ht="18">
      <c r="AD4719" s="93"/>
      <c r="AE4719" s="214"/>
      <c r="AF4719" s="93"/>
      <c r="AG4719" s="93"/>
      <c r="AH4719" s="93"/>
      <c r="AI4719" s="93"/>
      <c r="AJ4719" s="93"/>
    </row>
    <row r="4720" spans="30:36" ht="18">
      <c r="AD4720" s="93"/>
      <c r="AE4720" s="215"/>
      <c r="AF4720" s="93"/>
      <c r="AG4720" s="93"/>
      <c r="AH4720" s="93"/>
      <c r="AI4720" s="93"/>
      <c r="AJ4720" s="93"/>
    </row>
    <row r="4721" spans="30:36" ht="18">
      <c r="AD4721" s="93"/>
      <c r="AE4721" s="214"/>
      <c r="AF4721" s="93"/>
      <c r="AG4721" s="93"/>
      <c r="AH4721" s="93"/>
      <c r="AI4721" s="93"/>
      <c r="AJ4721" s="93"/>
    </row>
    <row r="4722" spans="30:36" ht="18">
      <c r="AD4722" s="93"/>
      <c r="AE4722" s="214"/>
      <c r="AF4722" s="93"/>
      <c r="AG4722" s="93"/>
      <c r="AH4722" s="93"/>
      <c r="AI4722" s="93"/>
      <c r="AJ4722" s="93"/>
    </row>
    <row r="4723" spans="30:36" ht="18">
      <c r="AD4723" s="93"/>
      <c r="AE4723" s="215"/>
      <c r="AF4723" s="93"/>
      <c r="AG4723" s="93"/>
      <c r="AH4723" s="93"/>
      <c r="AI4723" s="93"/>
      <c r="AJ4723" s="93"/>
    </row>
    <row r="4724" spans="30:36" ht="18">
      <c r="AD4724" s="93"/>
      <c r="AE4724" s="214"/>
      <c r="AF4724" s="93"/>
      <c r="AG4724" s="93"/>
      <c r="AH4724" s="93"/>
      <c r="AI4724" s="93"/>
      <c r="AJ4724" s="93"/>
    </row>
    <row r="4725" spans="30:36" ht="18">
      <c r="AD4725" s="93"/>
      <c r="AE4725" s="214"/>
      <c r="AF4725" s="93"/>
      <c r="AG4725" s="93"/>
      <c r="AH4725" s="93"/>
      <c r="AI4725" s="93"/>
      <c r="AJ4725" s="93"/>
    </row>
    <row r="4726" spans="30:36" ht="18">
      <c r="AD4726" s="93"/>
      <c r="AE4726" s="214"/>
      <c r="AF4726" s="93"/>
      <c r="AG4726" s="93"/>
      <c r="AH4726" s="93"/>
      <c r="AI4726" s="93"/>
      <c r="AJ4726" s="93"/>
    </row>
    <row r="4727" spans="30:36" ht="18">
      <c r="AD4727" s="93"/>
      <c r="AE4727" s="214"/>
      <c r="AF4727" s="93"/>
      <c r="AG4727" s="93"/>
      <c r="AH4727" s="93"/>
      <c r="AI4727" s="93"/>
      <c r="AJ4727" s="93"/>
    </row>
    <row r="4728" spans="30:36" ht="18">
      <c r="AD4728" s="93"/>
      <c r="AE4728" s="215"/>
      <c r="AF4728" s="93"/>
      <c r="AG4728" s="93"/>
      <c r="AH4728" s="93"/>
      <c r="AI4728" s="93"/>
      <c r="AJ4728" s="93"/>
    </row>
    <row r="4729" spans="30:36" ht="18">
      <c r="AD4729" s="93"/>
      <c r="AE4729" s="214"/>
      <c r="AF4729" s="93"/>
      <c r="AG4729" s="93"/>
      <c r="AH4729" s="93"/>
      <c r="AI4729" s="93"/>
      <c r="AJ4729" s="93"/>
    </row>
    <row r="4730" spans="30:36" ht="18">
      <c r="AD4730" s="93"/>
      <c r="AE4730" s="214"/>
      <c r="AF4730" s="93"/>
      <c r="AG4730" s="93"/>
      <c r="AH4730" s="93"/>
      <c r="AI4730" s="93"/>
      <c r="AJ4730" s="93"/>
    </row>
    <row r="4731" spans="30:36" ht="18">
      <c r="AD4731" s="93"/>
      <c r="AE4731" s="214"/>
      <c r="AF4731" s="93"/>
      <c r="AG4731" s="93"/>
      <c r="AH4731" s="93"/>
      <c r="AI4731" s="93"/>
      <c r="AJ4731" s="93"/>
    </row>
    <row r="4732" spans="30:36" ht="18">
      <c r="AD4732" s="93"/>
      <c r="AE4732" s="214"/>
      <c r="AF4732" s="93"/>
      <c r="AG4732" s="93"/>
      <c r="AH4732" s="93"/>
      <c r="AI4732" s="93"/>
      <c r="AJ4732" s="93"/>
    </row>
    <row r="4733" spans="30:36" ht="18">
      <c r="AD4733" s="93"/>
      <c r="AE4733" s="214"/>
      <c r="AF4733" s="93"/>
      <c r="AG4733" s="93"/>
      <c r="AH4733" s="93"/>
      <c r="AI4733" s="93"/>
      <c r="AJ4733" s="93"/>
    </row>
    <row r="4734" spans="30:36" ht="18">
      <c r="AD4734" s="93"/>
      <c r="AE4734" s="214"/>
      <c r="AF4734" s="93"/>
      <c r="AG4734" s="93"/>
      <c r="AH4734" s="93"/>
      <c r="AI4734" s="93"/>
      <c r="AJ4734" s="93"/>
    </row>
    <row r="4735" spans="30:36" ht="18">
      <c r="AD4735" s="93"/>
      <c r="AE4735" s="214"/>
      <c r="AF4735" s="93"/>
      <c r="AG4735" s="93"/>
      <c r="AH4735" s="93"/>
      <c r="AI4735" s="93"/>
      <c r="AJ4735" s="93"/>
    </row>
    <row r="4736" spans="30:36" ht="18">
      <c r="AD4736" s="93"/>
      <c r="AE4736" s="214"/>
      <c r="AF4736" s="93"/>
      <c r="AG4736" s="93"/>
      <c r="AH4736" s="93"/>
      <c r="AI4736" s="93"/>
      <c r="AJ4736" s="93"/>
    </row>
    <row r="4737" spans="30:36" ht="18">
      <c r="AD4737" s="93"/>
      <c r="AE4737" s="214"/>
      <c r="AF4737" s="93"/>
      <c r="AG4737" s="93"/>
      <c r="AH4737" s="93"/>
      <c r="AI4737" s="93"/>
      <c r="AJ4737" s="93"/>
    </row>
    <row r="4738" spans="30:36" ht="18">
      <c r="AD4738" s="93"/>
      <c r="AE4738" s="214"/>
      <c r="AF4738" s="93"/>
      <c r="AG4738" s="93"/>
      <c r="AH4738" s="93"/>
      <c r="AI4738" s="93"/>
      <c r="AJ4738" s="93"/>
    </row>
    <row r="4739" spans="30:36" ht="18">
      <c r="AD4739" s="93"/>
      <c r="AE4739" s="214"/>
      <c r="AF4739" s="93"/>
      <c r="AG4739" s="93"/>
      <c r="AH4739" s="93"/>
      <c r="AI4739" s="93"/>
      <c r="AJ4739" s="93"/>
    </row>
    <row r="4740" spans="30:36" ht="18">
      <c r="AD4740" s="93"/>
      <c r="AE4740" s="214"/>
      <c r="AF4740" s="93"/>
      <c r="AG4740" s="93"/>
      <c r="AH4740" s="93"/>
      <c r="AI4740" s="93"/>
      <c r="AJ4740" s="93"/>
    </row>
    <row r="4741" spans="30:36" ht="18">
      <c r="AD4741" s="93"/>
      <c r="AE4741" s="214"/>
      <c r="AF4741" s="93"/>
      <c r="AG4741" s="93"/>
      <c r="AH4741" s="93"/>
      <c r="AI4741" s="93"/>
      <c r="AJ4741" s="93"/>
    </row>
    <row r="4742" spans="30:36" ht="18">
      <c r="AD4742" s="93"/>
      <c r="AE4742" s="215"/>
      <c r="AF4742" s="93"/>
      <c r="AG4742" s="93"/>
      <c r="AH4742" s="93"/>
      <c r="AI4742" s="93"/>
      <c r="AJ4742" s="93"/>
    </row>
    <row r="4743" spans="30:36" ht="18">
      <c r="AD4743" s="93"/>
      <c r="AE4743" s="215"/>
      <c r="AF4743" s="93"/>
      <c r="AG4743" s="93"/>
      <c r="AH4743" s="93"/>
      <c r="AI4743" s="93"/>
      <c r="AJ4743" s="93"/>
    </row>
    <row r="4744" spans="30:36" ht="18">
      <c r="AD4744" s="93"/>
      <c r="AE4744" s="214"/>
      <c r="AF4744" s="93"/>
      <c r="AG4744" s="93"/>
      <c r="AH4744" s="93"/>
      <c r="AI4744" s="93"/>
      <c r="AJ4744" s="93"/>
    </row>
    <row r="4745" spans="30:36" ht="18">
      <c r="AD4745" s="93"/>
      <c r="AE4745" s="214"/>
      <c r="AF4745" s="93"/>
      <c r="AG4745" s="93"/>
      <c r="AH4745" s="93"/>
      <c r="AI4745" s="93"/>
      <c r="AJ4745" s="93"/>
    </row>
    <row r="4746" spans="30:36" ht="18">
      <c r="AD4746" s="93"/>
      <c r="AE4746" s="215"/>
      <c r="AF4746" s="93"/>
      <c r="AG4746" s="93"/>
      <c r="AH4746" s="93"/>
      <c r="AI4746" s="93"/>
      <c r="AJ4746" s="93"/>
    </row>
    <row r="4747" spans="30:36" ht="18">
      <c r="AD4747" s="93"/>
      <c r="AE4747" s="214"/>
      <c r="AF4747" s="93"/>
      <c r="AG4747" s="93"/>
      <c r="AH4747" s="93"/>
      <c r="AI4747" s="93"/>
      <c r="AJ4747" s="93"/>
    </row>
    <row r="4748" spans="30:36" ht="18">
      <c r="AD4748" s="93"/>
      <c r="AE4748" s="214"/>
      <c r="AF4748" s="93"/>
      <c r="AG4748" s="93"/>
      <c r="AH4748" s="93"/>
      <c r="AI4748" s="93"/>
      <c r="AJ4748" s="93"/>
    </row>
    <row r="4749" spans="30:36" ht="18">
      <c r="AD4749" s="93"/>
      <c r="AE4749" s="214"/>
      <c r="AF4749" s="93"/>
      <c r="AG4749" s="93"/>
      <c r="AH4749" s="93"/>
      <c r="AI4749" s="93"/>
      <c r="AJ4749" s="93"/>
    </row>
    <row r="4750" spans="30:36" ht="18">
      <c r="AD4750" s="93"/>
      <c r="AE4750" s="214"/>
      <c r="AF4750" s="93"/>
      <c r="AG4750" s="93"/>
      <c r="AH4750" s="93"/>
      <c r="AI4750" s="93"/>
      <c r="AJ4750" s="93"/>
    </row>
    <row r="4751" spans="30:36" ht="18">
      <c r="AD4751" s="93"/>
      <c r="AE4751" s="214"/>
      <c r="AF4751" s="93"/>
      <c r="AG4751" s="93"/>
      <c r="AH4751" s="93"/>
      <c r="AI4751" s="93"/>
      <c r="AJ4751" s="93"/>
    </row>
    <row r="4752" spans="30:36" ht="18">
      <c r="AD4752" s="93"/>
      <c r="AE4752" s="215"/>
      <c r="AF4752" s="93"/>
      <c r="AG4752" s="93"/>
      <c r="AH4752" s="93"/>
      <c r="AI4752" s="93"/>
      <c r="AJ4752" s="93"/>
    </row>
    <row r="4753" spans="30:36" ht="18">
      <c r="AD4753" s="93"/>
      <c r="AE4753" s="214"/>
      <c r="AF4753" s="93"/>
      <c r="AG4753" s="93"/>
      <c r="AH4753" s="93"/>
      <c r="AI4753" s="93"/>
      <c r="AJ4753" s="93"/>
    </row>
    <row r="4754" spans="30:36" ht="18">
      <c r="AD4754" s="93"/>
      <c r="AE4754" s="214"/>
      <c r="AF4754" s="93"/>
      <c r="AG4754" s="93"/>
      <c r="AH4754" s="93"/>
      <c r="AI4754" s="93"/>
      <c r="AJ4754" s="93"/>
    </row>
    <row r="4755" spans="30:36" ht="18">
      <c r="AD4755" s="93"/>
      <c r="AE4755" s="214"/>
      <c r="AF4755" s="93"/>
      <c r="AG4755" s="93"/>
      <c r="AH4755" s="93"/>
      <c r="AI4755" s="93"/>
      <c r="AJ4755" s="93"/>
    </row>
    <row r="4756" spans="30:36" ht="18">
      <c r="AD4756" s="93"/>
      <c r="AE4756" s="215"/>
      <c r="AF4756" s="93"/>
      <c r="AG4756" s="93"/>
      <c r="AH4756" s="93"/>
      <c r="AI4756" s="93"/>
      <c r="AJ4756" s="93"/>
    </row>
    <row r="4757" spans="30:36" ht="18">
      <c r="AD4757" s="93"/>
      <c r="AE4757" s="214"/>
      <c r="AF4757" s="93"/>
      <c r="AG4757" s="93"/>
      <c r="AH4757" s="93"/>
      <c r="AI4757" s="93"/>
      <c r="AJ4757" s="93"/>
    </row>
    <row r="4758" spans="30:36" ht="18">
      <c r="AD4758" s="93"/>
      <c r="AE4758" s="214"/>
      <c r="AF4758" s="93"/>
      <c r="AG4758" s="93"/>
      <c r="AH4758" s="93"/>
      <c r="AI4758" s="93"/>
      <c r="AJ4758" s="93"/>
    </row>
    <row r="4759" spans="30:36" ht="18">
      <c r="AD4759" s="93"/>
      <c r="AE4759" s="215"/>
      <c r="AF4759" s="93"/>
      <c r="AG4759" s="93"/>
      <c r="AH4759" s="93"/>
      <c r="AI4759" s="93"/>
      <c r="AJ4759" s="93"/>
    </row>
    <row r="4760" spans="30:36" ht="18">
      <c r="AD4760" s="93"/>
      <c r="AE4760" s="214"/>
      <c r="AF4760" s="93"/>
      <c r="AG4760" s="93"/>
      <c r="AH4760" s="93"/>
      <c r="AI4760" s="93"/>
      <c r="AJ4760" s="93"/>
    </row>
    <row r="4761" spans="30:36" ht="18">
      <c r="AD4761" s="93"/>
      <c r="AE4761" s="214"/>
      <c r="AF4761" s="93"/>
      <c r="AG4761" s="93"/>
      <c r="AH4761" s="93"/>
      <c r="AI4761" s="93"/>
      <c r="AJ4761" s="93"/>
    </row>
    <row r="4762" spans="30:36" ht="18">
      <c r="AD4762" s="93"/>
      <c r="AE4762" s="215"/>
      <c r="AF4762" s="93"/>
      <c r="AG4762" s="93"/>
      <c r="AH4762" s="93"/>
      <c r="AI4762" s="93"/>
      <c r="AJ4762" s="93"/>
    </row>
    <row r="4763" spans="30:36" ht="18">
      <c r="AD4763" s="93"/>
      <c r="AE4763" s="214"/>
      <c r="AF4763" s="93"/>
      <c r="AG4763" s="93"/>
      <c r="AH4763" s="93"/>
      <c r="AI4763" s="93"/>
      <c r="AJ4763" s="93"/>
    </row>
    <row r="4764" spans="30:36" ht="18">
      <c r="AD4764" s="93"/>
      <c r="AE4764" s="214"/>
      <c r="AF4764" s="93"/>
      <c r="AG4764" s="93"/>
      <c r="AH4764" s="93"/>
      <c r="AI4764" s="93"/>
      <c r="AJ4764" s="93"/>
    </row>
    <row r="4765" spans="30:36" ht="18">
      <c r="AD4765" s="93"/>
      <c r="AE4765" s="214"/>
      <c r="AF4765" s="93"/>
      <c r="AG4765" s="93"/>
      <c r="AH4765" s="93"/>
      <c r="AI4765" s="93"/>
      <c r="AJ4765" s="93"/>
    </row>
    <row r="4766" spans="30:36" ht="18">
      <c r="AD4766" s="93"/>
      <c r="AE4766" s="215"/>
      <c r="AF4766" s="93"/>
      <c r="AG4766" s="93"/>
      <c r="AH4766" s="93"/>
      <c r="AI4766" s="93"/>
      <c r="AJ4766" s="93"/>
    </row>
    <row r="4767" spans="30:36" ht="18">
      <c r="AD4767" s="93"/>
      <c r="AE4767" s="215"/>
      <c r="AF4767" s="93"/>
      <c r="AG4767" s="93"/>
      <c r="AH4767" s="93"/>
      <c r="AI4767" s="93"/>
      <c r="AJ4767" s="93"/>
    </row>
    <row r="4768" spans="30:36" ht="18">
      <c r="AD4768" s="93"/>
      <c r="AE4768" s="214"/>
      <c r="AF4768" s="93"/>
      <c r="AG4768" s="93"/>
      <c r="AH4768" s="93"/>
      <c r="AI4768" s="93"/>
      <c r="AJ4768" s="93"/>
    </row>
    <row r="4769" spans="30:36" ht="18">
      <c r="AD4769" s="93"/>
      <c r="AE4769" s="214"/>
      <c r="AF4769" s="93"/>
      <c r="AG4769" s="93"/>
      <c r="AH4769" s="93"/>
      <c r="AI4769" s="93"/>
      <c r="AJ4769" s="93"/>
    </row>
    <row r="4770" spans="30:36" ht="18">
      <c r="AD4770" s="93"/>
      <c r="AE4770" s="215"/>
      <c r="AF4770" s="93"/>
      <c r="AG4770" s="93"/>
      <c r="AH4770" s="93"/>
      <c r="AI4770" s="93"/>
      <c r="AJ4770" s="93"/>
    </row>
    <row r="4771" spans="30:36" ht="18">
      <c r="AD4771" s="93"/>
      <c r="AE4771" s="214"/>
      <c r="AF4771" s="93"/>
      <c r="AG4771" s="93"/>
      <c r="AH4771" s="93"/>
      <c r="AI4771" s="93"/>
      <c r="AJ4771" s="93"/>
    </row>
    <row r="4772" spans="30:36" ht="18">
      <c r="AD4772" s="93"/>
      <c r="AE4772" s="214"/>
      <c r="AF4772" s="93"/>
      <c r="AG4772" s="93"/>
      <c r="AH4772" s="93"/>
      <c r="AI4772" s="93"/>
      <c r="AJ4772" s="93"/>
    </row>
    <row r="4773" spans="30:36" ht="18">
      <c r="AD4773" s="93"/>
      <c r="AE4773" s="215"/>
      <c r="AF4773" s="93"/>
      <c r="AG4773" s="93"/>
      <c r="AH4773" s="93"/>
      <c r="AI4773" s="93"/>
      <c r="AJ4773" s="93"/>
    </row>
    <row r="4774" spans="30:36" ht="18">
      <c r="AD4774" s="93"/>
      <c r="AE4774" s="214"/>
      <c r="AF4774" s="93"/>
      <c r="AG4774" s="93"/>
      <c r="AH4774" s="93"/>
      <c r="AI4774" s="93"/>
      <c r="AJ4774" s="93"/>
    </row>
    <row r="4775" spans="30:36" ht="18">
      <c r="AD4775" s="93"/>
      <c r="AE4775" s="214"/>
      <c r="AF4775" s="93"/>
      <c r="AG4775" s="93"/>
      <c r="AH4775" s="93"/>
      <c r="AI4775" s="93"/>
      <c r="AJ4775" s="93"/>
    </row>
    <row r="4776" spans="30:36" ht="18">
      <c r="AD4776" s="93"/>
      <c r="AE4776" s="214"/>
      <c r="AF4776" s="93"/>
      <c r="AG4776" s="93"/>
      <c r="AH4776" s="93"/>
      <c r="AI4776" s="93"/>
      <c r="AJ4776" s="93"/>
    </row>
    <row r="4777" spans="30:36" ht="18">
      <c r="AD4777" s="93"/>
      <c r="AE4777" s="215"/>
      <c r="AF4777" s="93"/>
      <c r="AG4777" s="93"/>
      <c r="AH4777" s="93"/>
      <c r="AI4777" s="93"/>
      <c r="AJ4777" s="93"/>
    </row>
    <row r="4778" spans="30:36" ht="18">
      <c r="AD4778" s="93"/>
      <c r="AE4778" s="215"/>
      <c r="AF4778" s="93"/>
      <c r="AG4778" s="93"/>
      <c r="AH4778" s="93"/>
      <c r="AI4778" s="93"/>
      <c r="AJ4778" s="93"/>
    </row>
    <row r="4779" spans="30:36" ht="18">
      <c r="AD4779" s="93"/>
      <c r="AE4779" s="214"/>
      <c r="AF4779" s="93"/>
      <c r="AG4779" s="93"/>
      <c r="AH4779" s="93"/>
      <c r="AI4779" s="93"/>
      <c r="AJ4779" s="93"/>
    </row>
    <row r="4780" spans="30:36" ht="18">
      <c r="AD4780" s="93"/>
      <c r="AE4780" s="214"/>
      <c r="AF4780" s="93"/>
      <c r="AG4780" s="93"/>
      <c r="AH4780" s="93"/>
      <c r="AI4780" s="93"/>
      <c r="AJ4780" s="93"/>
    </row>
    <row r="4781" spans="30:36" ht="18">
      <c r="AD4781" s="93"/>
      <c r="AE4781" s="214"/>
      <c r="AF4781" s="93"/>
      <c r="AG4781" s="93"/>
      <c r="AH4781" s="93"/>
      <c r="AI4781" s="93"/>
      <c r="AJ4781" s="93"/>
    </row>
    <row r="4782" spans="30:36" ht="18">
      <c r="AD4782" s="93"/>
      <c r="AE4782" s="214"/>
      <c r="AF4782" s="93"/>
      <c r="AG4782" s="93"/>
      <c r="AH4782" s="93"/>
      <c r="AI4782" s="93"/>
      <c r="AJ4782" s="93"/>
    </row>
    <row r="4783" spans="30:36" ht="18">
      <c r="AD4783" s="93"/>
      <c r="AE4783" s="214"/>
      <c r="AF4783" s="93"/>
      <c r="AG4783" s="93"/>
      <c r="AH4783" s="93"/>
      <c r="AI4783" s="93"/>
      <c r="AJ4783" s="93"/>
    </row>
    <row r="4784" spans="30:36" ht="18">
      <c r="AD4784" s="93"/>
      <c r="AE4784" s="215"/>
      <c r="AF4784" s="93"/>
      <c r="AG4784" s="93"/>
      <c r="AH4784" s="93"/>
      <c r="AI4784" s="93"/>
      <c r="AJ4784" s="93"/>
    </row>
    <row r="4785" spans="30:36" ht="18">
      <c r="AD4785" s="93"/>
      <c r="AE4785" s="215"/>
      <c r="AF4785" s="93"/>
      <c r="AG4785" s="93"/>
      <c r="AH4785" s="93"/>
      <c r="AI4785" s="93"/>
      <c r="AJ4785" s="93"/>
    </row>
    <row r="4786" spans="30:36" ht="18">
      <c r="AD4786" s="93"/>
      <c r="AE4786" s="215"/>
      <c r="AF4786" s="93"/>
      <c r="AG4786" s="93"/>
      <c r="AH4786" s="93"/>
      <c r="AI4786" s="93"/>
      <c r="AJ4786" s="93"/>
    </row>
    <row r="4787" spans="30:36" ht="18">
      <c r="AD4787" s="93"/>
      <c r="AE4787" s="214"/>
      <c r="AF4787" s="93"/>
      <c r="AG4787" s="93"/>
      <c r="AH4787" s="93"/>
      <c r="AI4787" s="93"/>
      <c r="AJ4787" s="93"/>
    </row>
    <row r="4788" spans="30:36" ht="18">
      <c r="AD4788" s="93"/>
      <c r="AE4788" s="214"/>
      <c r="AF4788" s="93"/>
      <c r="AG4788" s="93"/>
      <c r="AH4788" s="93"/>
      <c r="AI4788" s="93"/>
      <c r="AJ4788" s="93"/>
    </row>
    <row r="4789" spans="30:36" ht="18">
      <c r="AD4789" s="93"/>
      <c r="AE4789" s="214"/>
      <c r="AF4789" s="93"/>
      <c r="AG4789" s="93"/>
      <c r="AH4789" s="93"/>
      <c r="AI4789" s="93"/>
      <c r="AJ4789" s="93"/>
    </row>
    <row r="4790" spans="30:36" ht="18">
      <c r="AD4790" s="93"/>
      <c r="AE4790" s="215"/>
      <c r="AF4790" s="93"/>
      <c r="AG4790" s="93"/>
      <c r="AH4790" s="93"/>
      <c r="AI4790" s="93"/>
      <c r="AJ4790" s="93"/>
    </row>
    <row r="4791" spans="30:36" ht="18">
      <c r="AD4791" s="93"/>
      <c r="AE4791" s="215"/>
      <c r="AF4791" s="93"/>
      <c r="AG4791" s="93"/>
      <c r="AH4791" s="93"/>
      <c r="AI4791" s="93"/>
      <c r="AJ4791" s="93"/>
    </row>
    <row r="4792" spans="30:36" ht="18">
      <c r="AD4792" s="93"/>
      <c r="AE4792" s="215"/>
      <c r="AF4792" s="93"/>
      <c r="AG4792" s="93"/>
      <c r="AH4792" s="93"/>
      <c r="AI4792" s="93"/>
      <c r="AJ4792" s="93"/>
    </row>
    <row r="4793" spans="30:36" ht="18">
      <c r="AD4793" s="93"/>
      <c r="AE4793" s="214"/>
      <c r="AF4793" s="93"/>
      <c r="AG4793" s="93"/>
      <c r="AH4793" s="93"/>
      <c r="AI4793" s="93"/>
      <c r="AJ4793" s="93"/>
    </row>
    <row r="4794" spans="30:36" ht="18">
      <c r="AD4794" s="93"/>
      <c r="AE4794" s="214"/>
      <c r="AF4794" s="93"/>
      <c r="AG4794" s="93"/>
      <c r="AH4794" s="93"/>
      <c r="AI4794" s="93"/>
      <c r="AJ4794" s="93"/>
    </row>
    <row r="4795" spans="30:36" ht="18">
      <c r="AD4795" s="93"/>
      <c r="AE4795" s="215"/>
      <c r="AF4795" s="93"/>
      <c r="AG4795" s="93"/>
      <c r="AH4795" s="93"/>
      <c r="AI4795" s="93"/>
      <c r="AJ4795" s="93"/>
    </row>
    <row r="4796" spans="30:36" ht="18">
      <c r="AD4796" s="93"/>
      <c r="AE4796" s="214"/>
      <c r="AF4796" s="93"/>
      <c r="AG4796" s="93"/>
      <c r="AH4796" s="93"/>
      <c r="AI4796" s="93"/>
      <c r="AJ4796" s="93"/>
    </row>
    <row r="4797" spans="30:36" ht="18">
      <c r="AD4797" s="93"/>
      <c r="AE4797" s="214"/>
      <c r="AF4797" s="93"/>
      <c r="AG4797" s="93"/>
      <c r="AH4797" s="93"/>
      <c r="AI4797" s="93"/>
      <c r="AJ4797" s="93"/>
    </row>
    <row r="4798" spans="30:36" ht="18">
      <c r="AD4798" s="93"/>
      <c r="AE4798" s="215"/>
      <c r="AF4798" s="93"/>
      <c r="AG4798" s="93"/>
      <c r="AH4798" s="93"/>
      <c r="AI4798" s="93"/>
      <c r="AJ4798" s="93"/>
    </row>
    <row r="4799" spans="30:36" ht="18">
      <c r="AD4799" s="93"/>
      <c r="AE4799" s="214"/>
      <c r="AF4799" s="93"/>
      <c r="AG4799" s="93"/>
      <c r="AH4799" s="93"/>
      <c r="AI4799" s="93"/>
      <c r="AJ4799" s="93"/>
    </row>
    <row r="4800" spans="30:36" ht="18">
      <c r="AD4800" s="93"/>
      <c r="AE4800" s="214"/>
      <c r="AF4800" s="93"/>
      <c r="AG4800" s="93"/>
      <c r="AH4800" s="93"/>
      <c r="AI4800" s="93"/>
      <c r="AJ4800" s="93"/>
    </row>
    <row r="4801" spans="30:36" ht="18">
      <c r="AD4801" s="93"/>
      <c r="AE4801" s="215"/>
      <c r="AF4801" s="93"/>
      <c r="AG4801" s="93"/>
      <c r="AH4801" s="93"/>
      <c r="AI4801" s="93"/>
      <c r="AJ4801" s="93"/>
    </row>
    <row r="4802" spans="30:36" ht="18">
      <c r="AD4802" s="93"/>
      <c r="AE4802" s="214"/>
      <c r="AF4802" s="93"/>
      <c r="AG4802" s="93"/>
      <c r="AH4802" s="93"/>
      <c r="AI4802" s="93"/>
      <c r="AJ4802" s="93"/>
    </row>
    <row r="4803" spans="30:36" ht="18">
      <c r="AD4803" s="93"/>
      <c r="AE4803" s="214"/>
      <c r="AF4803" s="93"/>
      <c r="AG4803" s="93"/>
      <c r="AH4803" s="93"/>
      <c r="AI4803" s="93"/>
      <c r="AJ4803" s="93"/>
    </row>
    <row r="4804" spans="30:36" ht="18">
      <c r="AD4804" s="93"/>
      <c r="AE4804" s="215"/>
      <c r="AF4804" s="93"/>
      <c r="AG4804" s="93"/>
      <c r="AH4804" s="93"/>
      <c r="AI4804" s="93"/>
      <c r="AJ4804" s="93"/>
    </row>
    <row r="4805" spans="30:36" ht="18">
      <c r="AD4805" s="93"/>
      <c r="AE4805" s="214"/>
      <c r="AF4805" s="93"/>
      <c r="AG4805" s="93"/>
      <c r="AH4805" s="93"/>
      <c r="AI4805" s="93"/>
      <c r="AJ4805" s="93"/>
    </row>
    <row r="4806" spans="30:36" ht="18">
      <c r="AD4806" s="93"/>
      <c r="AE4806" s="214"/>
      <c r="AF4806" s="93"/>
      <c r="AG4806" s="93"/>
      <c r="AH4806" s="93"/>
      <c r="AI4806" s="93"/>
      <c r="AJ4806" s="93"/>
    </row>
    <row r="4807" spans="30:36" ht="18">
      <c r="AD4807" s="93"/>
      <c r="AE4807" s="214"/>
      <c r="AF4807" s="93"/>
      <c r="AG4807" s="93"/>
      <c r="AH4807" s="93"/>
      <c r="AI4807" s="93"/>
      <c r="AJ4807" s="93"/>
    </row>
    <row r="4808" spans="30:36" ht="18">
      <c r="AD4808" s="93"/>
      <c r="AE4808" s="214"/>
      <c r="AF4808" s="93"/>
      <c r="AG4808" s="93"/>
      <c r="AH4808" s="93"/>
      <c r="AI4808" s="93"/>
      <c r="AJ4808" s="93"/>
    </row>
    <row r="4809" spans="30:36" ht="18">
      <c r="AD4809" s="93"/>
      <c r="AE4809" s="214"/>
      <c r="AF4809" s="93"/>
      <c r="AG4809" s="93"/>
      <c r="AH4809" s="93"/>
      <c r="AI4809" s="93"/>
      <c r="AJ4809" s="93"/>
    </row>
    <row r="4810" spans="30:36" ht="18">
      <c r="AD4810" s="93"/>
      <c r="AE4810" s="215"/>
      <c r="AF4810" s="93"/>
      <c r="AG4810" s="93"/>
      <c r="AH4810" s="93"/>
      <c r="AI4810" s="93"/>
      <c r="AJ4810" s="93"/>
    </row>
    <row r="4811" spans="30:36" ht="18">
      <c r="AD4811" s="93"/>
      <c r="AE4811" s="215"/>
      <c r="AF4811" s="93"/>
      <c r="AG4811" s="93"/>
      <c r="AH4811" s="93"/>
      <c r="AI4811" s="93"/>
      <c r="AJ4811" s="93"/>
    </row>
    <row r="4812" spans="30:36" ht="18">
      <c r="AD4812" s="93"/>
      <c r="AE4812" s="214"/>
      <c r="AF4812" s="93"/>
      <c r="AG4812" s="93"/>
      <c r="AH4812" s="93"/>
      <c r="AI4812" s="93"/>
      <c r="AJ4812" s="93"/>
    </row>
    <row r="4813" spans="30:36" ht="18">
      <c r="AD4813" s="93"/>
      <c r="AE4813" s="214"/>
      <c r="AF4813" s="93"/>
      <c r="AG4813" s="93"/>
      <c r="AH4813" s="93"/>
      <c r="AI4813" s="93"/>
      <c r="AJ4813" s="93"/>
    </row>
    <row r="4814" spans="30:36" ht="18">
      <c r="AD4814" s="93"/>
      <c r="AE4814" s="214"/>
      <c r="AF4814" s="93"/>
      <c r="AG4814" s="93"/>
      <c r="AH4814" s="93"/>
      <c r="AI4814" s="93"/>
      <c r="AJ4814" s="93"/>
    </row>
    <row r="4815" spans="30:36" ht="18">
      <c r="AD4815" s="93"/>
      <c r="AE4815" s="215"/>
      <c r="AF4815" s="93"/>
      <c r="AG4815" s="93"/>
      <c r="AH4815" s="93"/>
      <c r="AI4815" s="93"/>
      <c r="AJ4815" s="93"/>
    </row>
    <row r="4816" spans="30:36" ht="18">
      <c r="AD4816" s="93"/>
      <c r="AE4816" s="215"/>
      <c r="AF4816" s="93"/>
      <c r="AG4816" s="93"/>
      <c r="AH4816" s="93"/>
      <c r="AI4816" s="93"/>
      <c r="AJ4816" s="93"/>
    </row>
    <row r="4817" spans="30:36" ht="18">
      <c r="AD4817" s="93"/>
      <c r="AE4817" s="214"/>
      <c r="AF4817" s="93"/>
      <c r="AG4817" s="93"/>
      <c r="AH4817" s="93"/>
      <c r="AI4817" s="93"/>
      <c r="AJ4817" s="93"/>
    </row>
    <row r="4818" spans="30:36" ht="18">
      <c r="AD4818" s="93"/>
      <c r="AE4818" s="214"/>
      <c r="AF4818" s="93"/>
      <c r="AG4818" s="93"/>
      <c r="AH4818" s="93"/>
      <c r="AI4818" s="93"/>
      <c r="AJ4818" s="93"/>
    </row>
    <row r="4819" spans="30:36" ht="18">
      <c r="AD4819" s="93"/>
      <c r="AE4819" s="214"/>
      <c r="AF4819" s="93"/>
      <c r="AG4819" s="93"/>
      <c r="AH4819" s="93"/>
      <c r="AI4819" s="93"/>
      <c r="AJ4819" s="93"/>
    </row>
    <row r="4820" spans="30:36" ht="18">
      <c r="AD4820" s="93"/>
      <c r="AE4820" s="214"/>
      <c r="AF4820" s="93"/>
      <c r="AG4820" s="93"/>
      <c r="AH4820" s="93"/>
      <c r="AI4820" s="93"/>
      <c r="AJ4820" s="93"/>
    </row>
    <row r="4821" spans="30:36" ht="18">
      <c r="AD4821" s="93"/>
      <c r="AE4821" s="214"/>
      <c r="AF4821" s="93"/>
      <c r="AG4821" s="93"/>
      <c r="AH4821" s="93"/>
      <c r="AI4821" s="93"/>
      <c r="AJ4821" s="93"/>
    </row>
    <row r="4822" spans="30:36" ht="18">
      <c r="AD4822" s="93"/>
      <c r="AE4822" s="214"/>
      <c r="AF4822" s="93"/>
      <c r="AG4822" s="93"/>
      <c r="AH4822" s="93"/>
      <c r="AI4822" s="93"/>
      <c r="AJ4822" s="93"/>
    </row>
    <row r="4823" spans="30:36" ht="18">
      <c r="AD4823" s="93"/>
      <c r="AE4823" s="214"/>
      <c r="AF4823" s="93"/>
      <c r="AG4823" s="93"/>
      <c r="AH4823" s="93"/>
      <c r="AI4823" s="93"/>
      <c r="AJ4823" s="93"/>
    </row>
    <row r="4824" spans="30:36" ht="18">
      <c r="AD4824" s="93"/>
      <c r="AE4824" s="214"/>
      <c r="AF4824" s="93"/>
      <c r="AG4824" s="93"/>
      <c r="AH4824" s="93"/>
      <c r="AI4824" s="93"/>
      <c r="AJ4824" s="93"/>
    </row>
    <row r="4825" spans="30:36" ht="18">
      <c r="AD4825" s="93"/>
      <c r="AE4825" s="214"/>
      <c r="AF4825" s="93"/>
      <c r="AG4825" s="93"/>
      <c r="AH4825" s="93"/>
      <c r="AI4825" s="93"/>
      <c r="AJ4825" s="93"/>
    </row>
    <row r="4826" spans="30:36" ht="18">
      <c r="AD4826" s="93"/>
      <c r="AE4826" s="214"/>
      <c r="AF4826" s="93"/>
      <c r="AG4826" s="93"/>
      <c r="AH4826" s="93"/>
      <c r="AI4826" s="93"/>
      <c r="AJ4826" s="93"/>
    </row>
    <row r="4827" spans="30:36" ht="18">
      <c r="AD4827" s="93"/>
      <c r="AE4827" s="214"/>
      <c r="AF4827" s="93"/>
      <c r="AG4827" s="93"/>
      <c r="AH4827" s="93"/>
      <c r="AI4827" s="93"/>
      <c r="AJ4827" s="93"/>
    </row>
    <row r="4828" spans="30:36" ht="18">
      <c r="AD4828" s="93"/>
      <c r="AE4828" s="214"/>
      <c r="AF4828" s="93"/>
      <c r="AG4828" s="93"/>
      <c r="AH4828" s="93"/>
      <c r="AI4828" s="93"/>
      <c r="AJ4828" s="93"/>
    </row>
    <row r="4829" spans="30:36" ht="18">
      <c r="AD4829" s="93"/>
      <c r="AE4829" s="214"/>
      <c r="AF4829" s="93"/>
      <c r="AG4829" s="93"/>
      <c r="AH4829" s="93"/>
      <c r="AI4829" s="93"/>
      <c r="AJ4829" s="93"/>
    </row>
    <row r="4830" spans="30:36" ht="18">
      <c r="AD4830" s="93"/>
      <c r="AE4830" s="214"/>
      <c r="AF4830" s="93"/>
      <c r="AG4830" s="93"/>
      <c r="AH4830" s="93"/>
      <c r="AI4830" s="93"/>
      <c r="AJ4830" s="93"/>
    </row>
    <row r="4831" spans="30:36" ht="18">
      <c r="AD4831" s="93"/>
      <c r="AE4831" s="214"/>
      <c r="AF4831" s="93"/>
      <c r="AG4831" s="93"/>
      <c r="AH4831" s="93"/>
      <c r="AI4831" s="93"/>
      <c r="AJ4831" s="93"/>
    </row>
    <row r="4832" spans="30:36" ht="18">
      <c r="AD4832" s="93"/>
      <c r="AE4832" s="214"/>
      <c r="AF4832" s="93"/>
      <c r="AG4832" s="93"/>
      <c r="AH4832" s="93"/>
      <c r="AI4832" s="93"/>
      <c r="AJ4832" s="93"/>
    </row>
    <row r="4833" spans="30:36" ht="18">
      <c r="AD4833" s="93"/>
      <c r="AE4833" s="214"/>
      <c r="AF4833" s="93"/>
      <c r="AG4833" s="93"/>
      <c r="AH4833" s="93"/>
      <c r="AI4833" s="93"/>
      <c r="AJ4833" s="93"/>
    </row>
    <row r="4834" spans="30:36" ht="18">
      <c r="AD4834" s="93"/>
      <c r="AE4834" s="214"/>
      <c r="AF4834" s="93"/>
      <c r="AG4834" s="93"/>
      <c r="AH4834" s="93"/>
      <c r="AI4834" s="93"/>
      <c r="AJ4834" s="93"/>
    </row>
    <row r="4835" spans="30:36" ht="18">
      <c r="AD4835" s="93"/>
      <c r="AE4835" s="214"/>
      <c r="AF4835" s="93"/>
      <c r="AG4835" s="93"/>
      <c r="AH4835" s="93"/>
      <c r="AI4835" s="93"/>
      <c r="AJ4835" s="93"/>
    </row>
    <row r="4836" spans="30:36" ht="18">
      <c r="AD4836" s="93"/>
      <c r="AE4836" s="214"/>
      <c r="AF4836" s="93"/>
      <c r="AG4836" s="93"/>
      <c r="AH4836" s="93"/>
      <c r="AI4836" s="93"/>
      <c r="AJ4836" s="93"/>
    </row>
    <row r="4837" spans="30:36" ht="18">
      <c r="AD4837" s="93"/>
      <c r="AE4837" s="214"/>
      <c r="AF4837" s="93"/>
      <c r="AG4837" s="93"/>
      <c r="AH4837" s="93"/>
      <c r="AI4837" s="93"/>
      <c r="AJ4837" s="93"/>
    </row>
    <row r="4838" spans="30:36" ht="18">
      <c r="AD4838" s="93"/>
      <c r="AE4838" s="214"/>
      <c r="AF4838" s="93"/>
      <c r="AG4838" s="93"/>
      <c r="AH4838" s="93"/>
      <c r="AI4838" s="93"/>
      <c r="AJ4838" s="93"/>
    </row>
    <row r="4839" spans="30:36" ht="18">
      <c r="AD4839" s="93"/>
      <c r="AE4839" s="214"/>
      <c r="AF4839" s="93"/>
      <c r="AG4839" s="93"/>
      <c r="AH4839" s="93"/>
      <c r="AI4839" s="93"/>
      <c r="AJ4839" s="93"/>
    </row>
    <row r="4840" spans="30:36" ht="18">
      <c r="AD4840" s="93"/>
      <c r="AE4840" s="214"/>
      <c r="AF4840" s="93"/>
      <c r="AG4840" s="93"/>
      <c r="AH4840" s="93"/>
      <c r="AI4840" s="93"/>
      <c r="AJ4840" s="93"/>
    </row>
    <row r="4841" spans="30:36" ht="18">
      <c r="AD4841" s="93"/>
      <c r="AE4841" s="214"/>
      <c r="AF4841" s="93"/>
      <c r="AG4841" s="93"/>
      <c r="AH4841" s="93"/>
      <c r="AI4841" s="93"/>
      <c r="AJ4841" s="93"/>
    </row>
    <row r="4842" spans="30:36" ht="18">
      <c r="AD4842" s="93"/>
      <c r="AE4842" s="214"/>
      <c r="AF4842" s="93"/>
      <c r="AG4842" s="93"/>
      <c r="AH4842" s="93"/>
      <c r="AI4842" s="93"/>
      <c r="AJ4842" s="93"/>
    </row>
    <row r="4843" spans="30:36" ht="18">
      <c r="AD4843" s="93"/>
      <c r="AE4843" s="214"/>
      <c r="AF4843" s="93"/>
      <c r="AG4843" s="93"/>
      <c r="AH4843" s="93"/>
      <c r="AI4843" s="93"/>
      <c r="AJ4843" s="93"/>
    </row>
    <row r="4844" spans="30:36" ht="18">
      <c r="AD4844" s="93"/>
      <c r="AE4844" s="214"/>
      <c r="AF4844" s="93"/>
      <c r="AG4844" s="93"/>
      <c r="AH4844" s="93"/>
      <c r="AI4844" s="93"/>
      <c r="AJ4844" s="93"/>
    </row>
    <row r="4845" spans="30:36" ht="18">
      <c r="AD4845" s="93"/>
      <c r="AE4845" s="214"/>
      <c r="AF4845" s="93"/>
      <c r="AG4845" s="93"/>
      <c r="AH4845" s="93"/>
      <c r="AI4845" s="93"/>
      <c r="AJ4845" s="93"/>
    </row>
    <row r="4846" spans="30:36" ht="18">
      <c r="AD4846" s="93"/>
      <c r="AE4846" s="214"/>
      <c r="AF4846" s="93"/>
      <c r="AG4846" s="93"/>
      <c r="AH4846" s="93"/>
      <c r="AI4846" s="93"/>
      <c r="AJ4846" s="93"/>
    </row>
    <row r="4847" spans="30:36" ht="18">
      <c r="AD4847" s="93"/>
      <c r="AE4847" s="214"/>
      <c r="AF4847" s="93"/>
      <c r="AG4847" s="93"/>
      <c r="AH4847" s="93"/>
      <c r="AI4847" s="93"/>
      <c r="AJ4847" s="93"/>
    </row>
    <row r="4848" spans="30:36" ht="18">
      <c r="AD4848" s="93"/>
      <c r="AE4848" s="214"/>
      <c r="AF4848" s="93"/>
      <c r="AG4848" s="93"/>
      <c r="AH4848" s="93"/>
      <c r="AI4848" s="93"/>
      <c r="AJ4848" s="93"/>
    </row>
    <row r="4849" spans="30:36" ht="18">
      <c r="AD4849" s="93"/>
      <c r="AE4849" s="214"/>
      <c r="AF4849" s="93"/>
      <c r="AG4849" s="93"/>
      <c r="AH4849" s="93"/>
      <c r="AI4849" s="93"/>
      <c r="AJ4849" s="93"/>
    </row>
    <row r="4850" spans="30:36" ht="18">
      <c r="AD4850" s="93"/>
      <c r="AE4850" s="214"/>
      <c r="AF4850" s="93"/>
      <c r="AG4850" s="93"/>
      <c r="AH4850" s="93"/>
      <c r="AI4850" s="93"/>
      <c r="AJ4850" s="93"/>
    </row>
    <row r="4851" spans="30:36" ht="18">
      <c r="AD4851" s="93"/>
      <c r="AE4851" s="214"/>
      <c r="AF4851" s="93"/>
      <c r="AG4851" s="93"/>
      <c r="AH4851" s="93"/>
      <c r="AI4851" s="93"/>
      <c r="AJ4851" s="93"/>
    </row>
    <row r="4852" spans="30:36" ht="18">
      <c r="AD4852" s="93"/>
      <c r="AE4852" s="214"/>
      <c r="AF4852" s="93"/>
      <c r="AG4852" s="93"/>
      <c r="AH4852" s="93"/>
      <c r="AI4852" s="93"/>
      <c r="AJ4852" s="93"/>
    </row>
    <row r="4853" spans="30:36" ht="18">
      <c r="AD4853" s="93"/>
      <c r="AE4853" s="214"/>
      <c r="AF4853" s="93"/>
      <c r="AG4853" s="93"/>
      <c r="AH4853" s="93"/>
      <c r="AI4853" s="93"/>
      <c r="AJ4853" s="93"/>
    </row>
    <row r="4854" spans="30:36" ht="18">
      <c r="AD4854" s="93"/>
      <c r="AE4854" s="214"/>
      <c r="AF4854" s="93"/>
      <c r="AG4854" s="93"/>
      <c r="AH4854" s="93"/>
      <c r="AI4854" s="93"/>
      <c r="AJ4854" s="93"/>
    </row>
    <row r="4855" spans="30:36" ht="18">
      <c r="AD4855" s="93"/>
      <c r="AE4855" s="214"/>
      <c r="AF4855" s="93"/>
      <c r="AG4855" s="93"/>
      <c r="AH4855" s="93"/>
      <c r="AI4855" s="93"/>
      <c r="AJ4855" s="93"/>
    </row>
    <row r="4856" spans="30:36" ht="18">
      <c r="AD4856" s="93"/>
      <c r="AE4856" s="214"/>
      <c r="AF4856" s="93"/>
      <c r="AG4856" s="93"/>
      <c r="AH4856" s="93"/>
      <c r="AI4856" s="93"/>
      <c r="AJ4856" s="93"/>
    </row>
    <row r="4857" spans="30:36" ht="18">
      <c r="AD4857" s="93"/>
      <c r="AE4857" s="214"/>
      <c r="AF4857" s="93"/>
      <c r="AG4857" s="93"/>
      <c r="AH4857" s="93"/>
      <c r="AI4857" s="93"/>
      <c r="AJ4857" s="93"/>
    </row>
    <row r="4858" spans="30:36" ht="18">
      <c r="AD4858" s="93"/>
      <c r="AE4858" s="214"/>
      <c r="AF4858" s="93"/>
      <c r="AG4858" s="93"/>
      <c r="AH4858" s="93"/>
      <c r="AI4858" s="93"/>
      <c r="AJ4858" s="93"/>
    </row>
    <row r="4859" spans="30:36" ht="18">
      <c r="AD4859" s="93"/>
      <c r="AE4859" s="214"/>
      <c r="AF4859" s="93"/>
      <c r="AG4859" s="93"/>
      <c r="AH4859" s="93"/>
      <c r="AI4859" s="93"/>
      <c r="AJ4859" s="93"/>
    </row>
    <row r="4860" spans="30:36" ht="18">
      <c r="AD4860" s="93"/>
      <c r="AE4860" s="215"/>
      <c r="AF4860" s="93"/>
      <c r="AG4860" s="93"/>
      <c r="AH4860" s="93"/>
      <c r="AI4860" s="93"/>
      <c r="AJ4860" s="93"/>
    </row>
    <row r="4861" spans="30:36" ht="18">
      <c r="AD4861" s="93"/>
      <c r="AE4861" s="214"/>
      <c r="AF4861" s="93"/>
      <c r="AG4861" s="93"/>
      <c r="AH4861" s="93"/>
      <c r="AI4861" s="93"/>
      <c r="AJ4861" s="93"/>
    </row>
    <row r="4862" spans="30:36" ht="18">
      <c r="AD4862" s="93"/>
      <c r="AE4862" s="214"/>
      <c r="AF4862" s="93"/>
      <c r="AG4862" s="93"/>
      <c r="AH4862" s="93"/>
      <c r="AI4862" s="93"/>
      <c r="AJ4862" s="93"/>
    </row>
    <row r="4863" spans="30:36" ht="18">
      <c r="AD4863" s="93"/>
      <c r="AE4863" s="214"/>
      <c r="AF4863" s="93"/>
      <c r="AG4863" s="93"/>
      <c r="AH4863" s="93"/>
      <c r="AI4863" s="93"/>
      <c r="AJ4863" s="93"/>
    </row>
    <row r="4864" spans="30:36" ht="18">
      <c r="AD4864" s="93"/>
      <c r="AE4864" s="214"/>
      <c r="AF4864" s="93"/>
      <c r="AG4864" s="93"/>
      <c r="AH4864" s="93"/>
      <c r="AI4864" s="93"/>
      <c r="AJ4864" s="93"/>
    </row>
    <row r="4865" spans="30:36" ht="18">
      <c r="AD4865" s="93"/>
      <c r="AE4865" s="214"/>
      <c r="AF4865" s="93"/>
      <c r="AG4865" s="93"/>
      <c r="AH4865" s="93"/>
      <c r="AI4865" s="93"/>
      <c r="AJ4865" s="93"/>
    </row>
    <row r="4866" spans="30:36" ht="18">
      <c r="AD4866" s="93"/>
      <c r="AE4866" s="214"/>
      <c r="AF4866" s="93"/>
      <c r="AG4866" s="93"/>
      <c r="AH4866" s="93"/>
      <c r="AI4866" s="93"/>
      <c r="AJ4866" s="93"/>
    </row>
    <row r="4867" spans="30:36" ht="18">
      <c r="AD4867" s="93"/>
      <c r="AE4867" s="214"/>
      <c r="AF4867" s="93"/>
      <c r="AG4867" s="93"/>
      <c r="AH4867" s="93"/>
      <c r="AI4867" s="93"/>
      <c r="AJ4867" s="93"/>
    </row>
    <row r="4868" spans="30:36" ht="18">
      <c r="AD4868" s="93"/>
      <c r="AE4868" s="214"/>
      <c r="AF4868" s="93"/>
      <c r="AG4868" s="93"/>
      <c r="AH4868" s="93"/>
      <c r="AI4868" s="93"/>
      <c r="AJ4868" s="93"/>
    </row>
    <row r="4869" spans="30:36" ht="18">
      <c r="AD4869" s="93"/>
      <c r="AE4869" s="215"/>
      <c r="AF4869" s="93"/>
      <c r="AG4869" s="93"/>
      <c r="AH4869" s="93"/>
      <c r="AI4869" s="93"/>
      <c r="AJ4869" s="93"/>
    </row>
    <row r="4870" spans="30:36" ht="18">
      <c r="AD4870" s="93"/>
      <c r="AE4870" s="214"/>
      <c r="AF4870" s="93"/>
      <c r="AG4870" s="93"/>
      <c r="AH4870" s="93"/>
      <c r="AI4870" s="93"/>
      <c r="AJ4870" s="93"/>
    </row>
    <row r="4871" spans="30:36" ht="18">
      <c r="AD4871" s="93"/>
      <c r="AE4871" s="214"/>
      <c r="AF4871" s="93"/>
      <c r="AG4871" s="93"/>
      <c r="AH4871" s="93"/>
      <c r="AI4871" s="93"/>
      <c r="AJ4871" s="93"/>
    </row>
    <row r="4872" spans="30:36" ht="18">
      <c r="AD4872" s="93"/>
      <c r="AE4872" s="214"/>
      <c r="AF4872" s="93"/>
      <c r="AG4872" s="93"/>
      <c r="AH4872" s="93"/>
      <c r="AI4872" s="93"/>
      <c r="AJ4872" s="93"/>
    </row>
    <row r="4873" spans="30:36" ht="18">
      <c r="AD4873" s="93"/>
      <c r="AE4873" s="214"/>
      <c r="AF4873" s="93"/>
      <c r="AG4873" s="93"/>
      <c r="AH4873" s="93"/>
      <c r="AI4873" s="93"/>
      <c r="AJ4873" s="93"/>
    </row>
    <row r="4874" spans="30:36" ht="18">
      <c r="AD4874" s="93"/>
      <c r="AE4874" s="214"/>
      <c r="AF4874" s="93"/>
      <c r="AG4874" s="93"/>
      <c r="AH4874" s="93"/>
      <c r="AI4874" s="93"/>
      <c r="AJ4874" s="93"/>
    </row>
    <row r="4875" spans="30:36" ht="18">
      <c r="AD4875" s="93"/>
      <c r="AE4875" s="214"/>
      <c r="AF4875" s="93"/>
      <c r="AG4875" s="93"/>
      <c r="AH4875" s="93"/>
      <c r="AI4875" s="93"/>
      <c r="AJ4875" s="93"/>
    </row>
    <row r="4876" spans="30:36" ht="18">
      <c r="AD4876" s="93"/>
      <c r="AE4876" s="214"/>
      <c r="AF4876" s="93"/>
      <c r="AG4876" s="93"/>
      <c r="AH4876" s="93"/>
      <c r="AI4876" s="93"/>
      <c r="AJ4876" s="93"/>
    </row>
    <row r="4877" spans="30:36" ht="18">
      <c r="AD4877" s="93"/>
      <c r="AE4877" s="214"/>
      <c r="AF4877" s="93"/>
      <c r="AG4877" s="93"/>
      <c r="AH4877" s="93"/>
      <c r="AI4877" s="93"/>
      <c r="AJ4877" s="93"/>
    </row>
    <row r="4878" spans="30:36" ht="18">
      <c r="AD4878" s="93"/>
      <c r="AE4878" s="215"/>
      <c r="AF4878" s="93"/>
      <c r="AG4878" s="93"/>
      <c r="AH4878" s="93"/>
      <c r="AI4878" s="93"/>
      <c r="AJ4878" s="93"/>
    </row>
    <row r="4879" spans="30:36" ht="18">
      <c r="AD4879" s="93"/>
      <c r="AE4879" s="215"/>
      <c r="AF4879" s="93"/>
      <c r="AG4879" s="93"/>
      <c r="AH4879" s="93"/>
      <c r="AI4879" s="93"/>
      <c r="AJ4879" s="93"/>
    </row>
    <row r="4880" spans="30:36" ht="18">
      <c r="AD4880" s="93"/>
      <c r="AE4880" s="214"/>
      <c r="AF4880" s="93"/>
      <c r="AG4880" s="93"/>
      <c r="AH4880" s="93"/>
      <c r="AI4880" s="93"/>
      <c r="AJ4880" s="93"/>
    </row>
    <row r="4881" spans="30:36" ht="18">
      <c r="AD4881" s="93"/>
      <c r="AE4881" s="214"/>
      <c r="AF4881" s="93"/>
      <c r="AG4881" s="93"/>
      <c r="AH4881" s="93"/>
      <c r="AI4881" s="93"/>
      <c r="AJ4881" s="93"/>
    </row>
    <row r="4882" spans="30:36" ht="18">
      <c r="AD4882" s="93"/>
      <c r="AE4882" s="214"/>
      <c r="AF4882" s="93"/>
      <c r="AG4882" s="93"/>
      <c r="AH4882" s="93"/>
      <c r="AI4882" s="93"/>
      <c r="AJ4882" s="93"/>
    </row>
    <row r="4883" spans="30:36" ht="18">
      <c r="AD4883" s="93"/>
      <c r="AE4883" s="214"/>
      <c r="AF4883" s="93"/>
      <c r="AG4883" s="93"/>
      <c r="AH4883" s="93"/>
      <c r="AI4883" s="93"/>
      <c r="AJ4883" s="93"/>
    </row>
    <row r="4884" spans="30:36" ht="18">
      <c r="AD4884" s="93"/>
      <c r="AE4884" s="214"/>
      <c r="AF4884" s="93"/>
      <c r="AG4884" s="93"/>
      <c r="AH4884" s="93"/>
      <c r="AI4884" s="93"/>
      <c r="AJ4884" s="93"/>
    </row>
    <row r="4885" spans="30:36" ht="18">
      <c r="AD4885" s="93"/>
      <c r="AE4885" s="214"/>
      <c r="AF4885" s="93"/>
      <c r="AG4885" s="93"/>
      <c r="AH4885" s="93"/>
      <c r="AI4885" s="93"/>
      <c r="AJ4885" s="93"/>
    </row>
    <row r="4886" spans="30:36" ht="18">
      <c r="AD4886" s="93"/>
      <c r="AE4886" s="214"/>
      <c r="AF4886" s="93"/>
      <c r="AG4886" s="93"/>
      <c r="AH4886" s="93"/>
      <c r="AI4886" s="93"/>
      <c r="AJ4886" s="93"/>
    </row>
    <row r="4887" spans="30:36" ht="18">
      <c r="AD4887" s="93"/>
      <c r="AE4887" s="214"/>
      <c r="AF4887" s="93"/>
      <c r="AG4887" s="93"/>
      <c r="AH4887" s="93"/>
      <c r="AI4887" s="93"/>
      <c r="AJ4887" s="93"/>
    </row>
    <row r="4888" spans="30:36" ht="18">
      <c r="AD4888" s="93"/>
      <c r="AE4888" s="214"/>
      <c r="AF4888" s="93"/>
      <c r="AG4888" s="93"/>
      <c r="AH4888" s="93"/>
      <c r="AI4888" s="93"/>
      <c r="AJ4888" s="93"/>
    </row>
    <row r="4889" spans="30:36" ht="18">
      <c r="AD4889" s="93"/>
      <c r="AE4889" s="214"/>
      <c r="AF4889" s="93"/>
      <c r="AG4889" s="93"/>
      <c r="AH4889" s="93"/>
      <c r="AI4889" s="93"/>
      <c r="AJ4889" s="93"/>
    </row>
    <row r="4890" spans="30:36" ht="18">
      <c r="AD4890" s="93"/>
      <c r="AE4890" s="214"/>
      <c r="AF4890" s="93"/>
      <c r="AG4890" s="93"/>
      <c r="AH4890" s="93"/>
      <c r="AI4890" s="93"/>
      <c r="AJ4890" s="93"/>
    </row>
    <row r="4891" spans="30:36" ht="18">
      <c r="AD4891" s="93"/>
      <c r="AE4891" s="214"/>
      <c r="AF4891" s="93"/>
      <c r="AG4891" s="93"/>
      <c r="AH4891" s="93"/>
      <c r="AI4891" s="93"/>
      <c r="AJ4891" s="93"/>
    </row>
    <row r="4892" spans="30:36" ht="18">
      <c r="AD4892" s="93"/>
      <c r="AE4892" s="214"/>
      <c r="AF4892" s="93"/>
      <c r="AG4892" s="93"/>
      <c r="AH4892" s="93"/>
      <c r="AI4892" s="93"/>
      <c r="AJ4892" s="93"/>
    </row>
    <row r="4893" spans="30:36" ht="18">
      <c r="AD4893" s="93"/>
      <c r="AE4893" s="214"/>
      <c r="AF4893" s="93"/>
      <c r="AG4893" s="93"/>
      <c r="AH4893" s="93"/>
      <c r="AI4893" s="93"/>
      <c r="AJ4893" s="93"/>
    </row>
    <row r="4894" spans="30:36" ht="18">
      <c r="AD4894" s="93"/>
      <c r="AE4894" s="214"/>
      <c r="AF4894" s="93"/>
      <c r="AG4894" s="93"/>
      <c r="AH4894" s="93"/>
      <c r="AI4894" s="93"/>
      <c r="AJ4894" s="93"/>
    </row>
    <row r="4895" spans="30:36" ht="18">
      <c r="AD4895" s="93"/>
      <c r="AE4895" s="214"/>
      <c r="AF4895" s="93"/>
      <c r="AG4895" s="93"/>
      <c r="AH4895" s="93"/>
      <c r="AI4895" s="93"/>
      <c r="AJ4895" s="93"/>
    </row>
    <row r="4896" spans="30:36" ht="18">
      <c r="AD4896" s="93"/>
      <c r="AE4896" s="214"/>
      <c r="AF4896" s="93"/>
      <c r="AG4896" s="93"/>
      <c r="AH4896" s="93"/>
      <c r="AI4896" s="93"/>
      <c r="AJ4896" s="93"/>
    </row>
    <row r="4897" spans="30:36" ht="18">
      <c r="AD4897" s="93"/>
      <c r="AE4897" s="214"/>
      <c r="AF4897" s="93"/>
      <c r="AG4897" s="93"/>
      <c r="AH4897" s="93"/>
      <c r="AI4897" s="93"/>
      <c r="AJ4897" s="93"/>
    </row>
    <row r="4898" spans="30:36" ht="18">
      <c r="AD4898" s="93"/>
      <c r="AE4898" s="214"/>
      <c r="AF4898" s="93"/>
      <c r="AG4898" s="93"/>
      <c r="AH4898" s="93"/>
      <c r="AI4898" s="93"/>
      <c r="AJ4898" s="93"/>
    </row>
    <row r="4899" spans="30:36" ht="18">
      <c r="AD4899" s="93"/>
      <c r="AE4899" s="214"/>
      <c r="AF4899" s="93"/>
      <c r="AG4899" s="93"/>
      <c r="AH4899" s="93"/>
      <c r="AI4899" s="93"/>
      <c r="AJ4899" s="93"/>
    </row>
    <row r="4900" spans="30:36" ht="18">
      <c r="AD4900" s="93"/>
      <c r="AE4900" s="214"/>
      <c r="AF4900" s="93"/>
      <c r="AG4900" s="93"/>
      <c r="AH4900" s="93"/>
      <c r="AI4900" s="93"/>
      <c r="AJ4900" s="93"/>
    </row>
    <row r="4901" spans="30:36" ht="18">
      <c r="AD4901" s="93"/>
      <c r="AE4901" s="214"/>
      <c r="AF4901" s="93"/>
      <c r="AG4901" s="93"/>
      <c r="AH4901" s="93"/>
      <c r="AI4901" s="93"/>
      <c r="AJ4901" s="93"/>
    </row>
    <row r="4902" spans="30:36" ht="18">
      <c r="AD4902" s="93"/>
      <c r="AE4902" s="214"/>
      <c r="AF4902" s="93"/>
      <c r="AG4902" s="93"/>
      <c r="AH4902" s="93"/>
      <c r="AI4902" s="93"/>
      <c r="AJ4902" s="93"/>
    </row>
    <row r="4903" spans="30:36" ht="18">
      <c r="AD4903" s="93"/>
      <c r="AE4903" s="214"/>
      <c r="AF4903" s="93"/>
      <c r="AG4903" s="93"/>
      <c r="AH4903" s="93"/>
      <c r="AI4903" s="93"/>
      <c r="AJ4903" s="93"/>
    </row>
    <row r="4904" spans="30:36" ht="18">
      <c r="AD4904" s="93"/>
      <c r="AE4904" s="214"/>
      <c r="AF4904" s="93"/>
      <c r="AG4904" s="93"/>
      <c r="AH4904" s="93"/>
      <c r="AI4904" s="93"/>
      <c r="AJ4904" s="93"/>
    </row>
    <row r="4905" spans="30:36" ht="18">
      <c r="AD4905" s="93"/>
      <c r="AE4905" s="214"/>
      <c r="AF4905" s="93"/>
      <c r="AG4905" s="93"/>
      <c r="AH4905" s="93"/>
      <c r="AI4905" s="93"/>
      <c r="AJ4905" s="93"/>
    </row>
    <row r="4906" spans="30:36" ht="18">
      <c r="AD4906" s="93"/>
      <c r="AE4906" s="214"/>
      <c r="AF4906" s="93"/>
      <c r="AG4906" s="93"/>
      <c r="AH4906" s="93"/>
      <c r="AI4906" s="93"/>
      <c r="AJ4906" s="93"/>
    </row>
    <row r="4907" spans="30:36" ht="18">
      <c r="AD4907" s="93"/>
      <c r="AE4907" s="214"/>
      <c r="AF4907" s="93"/>
      <c r="AG4907" s="93"/>
      <c r="AH4907" s="93"/>
      <c r="AI4907" s="93"/>
      <c r="AJ4907" s="93"/>
    </row>
    <row r="4908" spans="30:36" ht="18">
      <c r="AD4908" s="93"/>
      <c r="AE4908" s="214"/>
      <c r="AF4908" s="93"/>
      <c r="AG4908" s="93"/>
      <c r="AH4908" s="93"/>
      <c r="AI4908" s="93"/>
      <c r="AJ4908" s="93"/>
    </row>
    <row r="4909" spans="30:36" ht="18">
      <c r="AD4909" s="93"/>
      <c r="AE4909" s="214"/>
      <c r="AF4909" s="93"/>
      <c r="AG4909" s="93"/>
      <c r="AH4909" s="93"/>
      <c r="AI4909" s="93"/>
      <c r="AJ4909" s="93"/>
    </row>
    <row r="4910" spans="30:36" ht="18">
      <c r="AD4910" s="93"/>
      <c r="AE4910" s="214"/>
      <c r="AF4910" s="93"/>
      <c r="AG4910" s="93"/>
      <c r="AH4910" s="93"/>
      <c r="AI4910" s="93"/>
      <c r="AJ4910" s="93"/>
    </row>
    <row r="4911" spans="30:36" ht="18">
      <c r="AD4911" s="93"/>
      <c r="AE4911" s="214"/>
      <c r="AF4911" s="93"/>
      <c r="AG4911" s="93"/>
      <c r="AH4911" s="93"/>
      <c r="AI4911" s="93"/>
      <c r="AJ4911" s="93"/>
    </row>
    <row r="4912" spans="30:36" ht="18">
      <c r="AD4912" s="93"/>
      <c r="AE4912" s="214"/>
      <c r="AF4912" s="93"/>
      <c r="AG4912" s="93"/>
      <c r="AH4912" s="93"/>
      <c r="AI4912" s="93"/>
      <c r="AJ4912" s="93"/>
    </row>
    <row r="4913" spans="30:36" ht="18">
      <c r="AD4913" s="93"/>
      <c r="AE4913" s="214"/>
      <c r="AF4913" s="93"/>
      <c r="AG4913" s="93"/>
      <c r="AH4913" s="93"/>
      <c r="AI4913" s="93"/>
      <c r="AJ4913" s="93"/>
    </row>
    <row r="4914" spans="30:36" ht="18">
      <c r="AD4914" s="93"/>
      <c r="AE4914" s="214"/>
      <c r="AF4914" s="93"/>
      <c r="AG4914" s="93"/>
      <c r="AH4914" s="93"/>
      <c r="AI4914" s="93"/>
      <c r="AJ4914" s="93"/>
    </row>
    <row r="4915" spans="30:36" ht="18">
      <c r="AD4915" s="93"/>
      <c r="AE4915" s="214"/>
      <c r="AF4915" s="93"/>
      <c r="AG4915" s="93"/>
      <c r="AH4915" s="93"/>
      <c r="AI4915" s="93"/>
      <c r="AJ4915" s="93"/>
    </row>
    <row r="4916" spans="30:36" ht="18">
      <c r="AD4916" s="93"/>
      <c r="AE4916" s="214"/>
      <c r="AF4916" s="93"/>
      <c r="AG4916" s="93"/>
      <c r="AH4916" s="93"/>
      <c r="AI4916" s="93"/>
      <c r="AJ4916" s="93"/>
    </row>
    <row r="4917" spans="30:36" ht="18">
      <c r="AD4917" s="93"/>
      <c r="AE4917" s="214"/>
      <c r="AF4917" s="93"/>
      <c r="AG4917" s="93"/>
      <c r="AH4917" s="93"/>
      <c r="AI4917" s="93"/>
      <c r="AJ4917" s="93"/>
    </row>
    <row r="4918" spans="30:36" ht="18">
      <c r="AD4918" s="93"/>
      <c r="AE4918" s="214"/>
      <c r="AF4918" s="93"/>
      <c r="AG4918" s="93"/>
      <c r="AH4918" s="93"/>
      <c r="AI4918" s="93"/>
      <c r="AJ4918" s="93"/>
    </row>
    <row r="4919" spans="30:36" ht="18">
      <c r="AD4919" s="93"/>
      <c r="AE4919" s="214"/>
      <c r="AF4919" s="93"/>
      <c r="AG4919" s="93"/>
      <c r="AH4919" s="93"/>
      <c r="AI4919" s="93"/>
      <c r="AJ4919" s="93"/>
    </row>
    <row r="4920" spans="30:36" ht="18">
      <c r="AD4920" s="93"/>
      <c r="AE4920" s="214"/>
      <c r="AF4920" s="93"/>
      <c r="AG4920" s="93"/>
      <c r="AH4920" s="93"/>
      <c r="AI4920" s="93"/>
      <c r="AJ4920" s="93"/>
    </row>
    <row r="4921" spans="30:36" ht="18">
      <c r="AD4921" s="93"/>
      <c r="AE4921" s="214"/>
      <c r="AF4921" s="93"/>
      <c r="AG4921" s="93"/>
      <c r="AH4921" s="93"/>
      <c r="AI4921" s="93"/>
      <c r="AJ4921" s="93"/>
    </row>
    <row r="4922" spans="30:36" ht="18">
      <c r="AD4922" s="93"/>
      <c r="AE4922" s="214"/>
      <c r="AF4922" s="93"/>
      <c r="AG4922" s="93"/>
      <c r="AH4922" s="93"/>
      <c r="AI4922" s="93"/>
      <c r="AJ4922" s="93"/>
    </row>
    <row r="4923" spans="30:36" ht="18">
      <c r="AD4923" s="93"/>
      <c r="AE4923" s="214"/>
      <c r="AF4923" s="93"/>
      <c r="AG4923" s="93"/>
      <c r="AH4923" s="93"/>
      <c r="AI4923" s="93"/>
      <c r="AJ4923" s="93"/>
    </row>
    <row r="4924" spans="30:36" ht="18">
      <c r="AD4924" s="93"/>
      <c r="AE4924" s="215"/>
      <c r="AF4924" s="93"/>
      <c r="AG4924" s="93"/>
      <c r="AH4924" s="93"/>
      <c r="AI4924" s="93"/>
      <c r="AJ4924" s="93"/>
    </row>
    <row r="4925" spans="30:36" ht="18">
      <c r="AD4925" s="93"/>
      <c r="AE4925" s="214"/>
      <c r="AF4925" s="93"/>
      <c r="AG4925" s="93"/>
      <c r="AH4925" s="93"/>
      <c r="AI4925" s="93"/>
      <c r="AJ4925" s="93"/>
    </row>
    <row r="4926" spans="30:36" ht="18">
      <c r="AD4926" s="93"/>
      <c r="AE4926" s="214"/>
      <c r="AF4926" s="93"/>
      <c r="AG4926" s="93"/>
      <c r="AH4926" s="93"/>
      <c r="AI4926" s="93"/>
      <c r="AJ4926" s="93"/>
    </row>
    <row r="4927" spans="30:36" ht="18">
      <c r="AD4927" s="93"/>
      <c r="AE4927" s="214"/>
      <c r="AF4927" s="93"/>
      <c r="AG4927" s="93"/>
      <c r="AH4927" s="93"/>
      <c r="AI4927" s="93"/>
      <c r="AJ4927" s="93"/>
    </row>
    <row r="4928" spans="30:36" ht="18">
      <c r="AD4928" s="93"/>
      <c r="AE4928" s="214"/>
      <c r="AF4928" s="93"/>
      <c r="AG4928" s="93"/>
      <c r="AH4928" s="93"/>
      <c r="AI4928" s="93"/>
      <c r="AJ4928" s="93"/>
    </row>
    <row r="4929" spans="30:36" ht="18">
      <c r="AD4929" s="93"/>
      <c r="AE4929" s="214"/>
      <c r="AF4929" s="93"/>
      <c r="AG4929" s="93"/>
      <c r="AH4929" s="93"/>
      <c r="AI4929" s="93"/>
      <c r="AJ4929" s="93"/>
    </row>
    <row r="4930" spans="30:36" ht="18">
      <c r="AD4930" s="93"/>
      <c r="AE4930" s="214"/>
      <c r="AF4930" s="93"/>
      <c r="AG4930" s="93"/>
      <c r="AH4930" s="93"/>
      <c r="AI4930" s="93"/>
      <c r="AJ4930" s="93"/>
    </row>
    <row r="4931" spans="30:36" ht="18">
      <c r="AD4931" s="93"/>
      <c r="AE4931" s="214"/>
      <c r="AF4931" s="93"/>
      <c r="AG4931" s="93"/>
      <c r="AH4931" s="93"/>
      <c r="AI4931" s="93"/>
      <c r="AJ4931" s="93"/>
    </row>
    <row r="4932" spans="30:36" ht="18">
      <c r="AD4932" s="93"/>
      <c r="AE4932" s="214"/>
      <c r="AF4932" s="93"/>
      <c r="AG4932" s="93"/>
      <c r="AH4932" s="93"/>
      <c r="AI4932" s="93"/>
      <c r="AJ4932" s="93"/>
    </row>
    <row r="4933" spans="30:36" ht="18">
      <c r="AD4933" s="93"/>
      <c r="AE4933" s="214"/>
      <c r="AF4933" s="93"/>
      <c r="AG4933" s="93"/>
      <c r="AH4933" s="93"/>
      <c r="AI4933" s="93"/>
      <c r="AJ4933" s="93"/>
    </row>
    <row r="4934" spans="30:36" ht="18">
      <c r="AD4934" s="93"/>
      <c r="AE4934" s="214"/>
      <c r="AF4934" s="93"/>
      <c r="AG4934" s="93"/>
      <c r="AH4934" s="93"/>
      <c r="AI4934" s="93"/>
      <c r="AJ4934" s="93"/>
    </row>
    <row r="4935" spans="30:36" ht="18">
      <c r="AD4935" s="93"/>
      <c r="AE4935" s="214"/>
      <c r="AF4935" s="93"/>
      <c r="AG4935" s="93"/>
      <c r="AH4935" s="93"/>
      <c r="AI4935" s="93"/>
      <c r="AJ4935" s="93"/>
    </row>
    <row r="4936" spans="30:36" ht="18">
      <c r="AD4936" s="93"/>
      <c r="AE4936" s="214"/>
      <c r="AF4936" s="93"/>
      <c r="AG4936" s="93"/>
      <c r="AH4936" s="93"/>
      <c r="AI4936" s="93"/>
      <c r="AJ4936" s="93"/>
    </row>
    <row r="4937" spans="30:36" ht="18">
      <c r="AD4937" s="93"/>
      <c r="AE4937" s="214"/>
      <c r="AF4937" s="93"/>
      <c r="AG4937" s="93"/>
      <c r="AH4937" s="93"/>
      <c r="AI4937" s="93"/>
      <c r="AJ4937" s="93"/>
    </row>
    <row r="4938" spans="30:36" ht="18">
      <c r="AD4938" s="93"/>
      <c r="AE4938" s="214"/>
      <c r="AF4938" s="93"/>
      <c r="AG4938" s="93"/>
      <c r="AH4938" s="93"/>
      <c r="AI4938" s="93"/>
      <c r="AJ4938" s="93"/>
    </row>
    <row r="4939" spans="30:36" ht="18">
      <c r="AD4939" s="93"/>
      <c r="AE4939" s="214"/>
      <c r="AF4939" s="93"/>
      <c r="AG4939" s="93"/>
      <c r="AH4939" s="93"/>
      <c r="AI4939" s="93"/>
      <c r="AJ4939" s="93"/>
    </row>
    <row r="4940" spans="30:36" ht="18">
      <c r="AD4940" s="93"/>
      <c r="AE4940" s="214"/>
      <c r="AF4940" s="93"/>
      <c r="AG4940" s="93"/>
      <c r="AH4940" s="93"/>
      <c r="AI4940" s="93"/>
      <c r="AJ4940" s="93"/>
    </row>
    <row r="4941" spans="30:36" ht="18">
      <c r="AD4941" s="93"/>
      <c r="AE4941" s="214"/>
      <c r="AF4941" s="93"/>
      <c r="AG4941" s="93"/>
      <c r="AH4941" s="93"/>
      <c r="AI4941" s="93"/>
      <c r="AJ4941" s="93"/>
    </row>
    <row r="4942" spans="30:36" ht="18">
      <c r="AD4942" s="93"/>
      <c r="AE4942" s="214"/>
      <c r="AF4942" s="93"/>
      <c r="AG4942" s="93"/>
      <c r="AH4942" s="93"/>
      <c r="AI4942" s="93"/>
      <c r="AJ4942" s="93"/>
    </row>
    <row r="4943" spans="30:36" ht="18">
      <c r="AD4943" s="93"/>
      <c r="AE4943" s="214"/>
      <c r="AF4943" s="93"/>
      <c r="AG4943" s="93"/>
      <c r="AH4943" s="93"/>
      <c r="AI4943" s="93"/>
      <c r="AJ4943" s="93"/>
    </row>
    <row r="4944" spans="30:36" ht="18">
      <c r="AD4944" s="93"/>
      <c r="AE4944" s="214"/>
      <c r="AF4944" s="93"/>
      <c r="AG4944" s="93"/>
      <c r="AH4944" s="93"/>
      <c r="AI4944" s="93"/>
      <c r="AJ4944" s="93"/>
    </row>
    <row r="4945" spans="30:36" ht="18">
      <c r="AD4945" s="93"/>
      <c r="AE4945" s="214"/>
      <c r="AF4945" s="93"/>
      <c r="AG4945" s="93"/>
      <c r="AH4945" s="93"/>
      <c r="AI4945" s="93"/>
      <c r="AJ4945" s="93"/>
    </row>
    <row r="4946" spans="30:36" ht="18">
      <c r="AD4946" s="93"/>
      <c r="AE4946" s="214"/>
      <c r="AF4946" s="93"/>
      <c r="AG4946" s="93"/>
      <c r="AH4946" s="93"/>
      <c r="AI4946" s="93"/>
      <c r="AJ4946" s="93"/>
    </row>
    <row r="4947" spans="30:36" ht="18">
      <c r="AD4947" s="93"/>
      <c r="AE4947" s="214"/>
      <c r="AF4947" s="93"/>
      <c r="AG4947" s="93"/>
      <c r="AH4947" s="93"/>
      <c r="AI4947" s="93"/>
      <c r="AJ4947" s="93"/>
    </row>
    <row r="4948" spans="30:36" ht="18">
      <c r="AD4948" s="93"/>
      <c r="AE4948" s="214"/>
      <c r="AF4948" s="93"/>
      <c r="AG4948" s="93"/>
      <c r="AH4948" s="93"/>
      <c r="AI4948" s="93"/>
      <c r="AJ4948" s="93"/>
    </row>
    <row r="4949" spans="30:36" ht="18">
      <c r="AD4949" s="93"/>
      <c r="AE4949" s="214"/>
      <c r="AF4949" s="93"/>
      <c r="AG4949" s="93"/>
      <c r="AH4949" s="93"/>
      <c r="AI4949" s="93"/>
      <c r="AJ4949" s="93"/>
    </row>
    <row r="4950" spans="30:36" ht="18">
      <c r="AD4950" s="93"/>
      <c r="AE4950" s="214"/>
      <c r="AF4950" s="93"/>
      <c r="AG4950" s="93"/>
      <c r="AH4950" s="93"/>
      <c r="AI4950" s="93"/>
      <c r="AJ4950" s="93"/>
    </row>
    <row r="4951" spans="30:36" ht="18">
      <c r="AD4951" s="93"/>
      <c r="AE4951" s="214"/>
      <c r="AF4951" s="93"/>
      <c r="AG4951" s="93"/>
      <c r="AH4951" s="93"/>
      <c r="AI4951" s="93"/>
      <c r="AJ4951" s="93"/>
    </row>
    <row r="4952" spans="30:36" ht="18">
      <c r="AD4952" s="93"/>
      <c r="AE4952" s="214"/>
      <c r="AF4952" s="93"/>
      <c r="AG4952" s="93"/>
      <c r="AH4952" s="93"/>
      <c r="AI4952" s="93"/>
      <c r="AJ4952" s="93"/>
    </row>
    <row r="4953" spans="30:36" ht="18">
      <c r="AD4953" s="93"/>
      <c r="AE4953" s="214"/>
      <c r="AF4953" s="93"/>
      <c r="AG4953" s="93"/>
      <c r="AH4953" s="93"/>
      <c r="AI4953" s="93"/>
      <c r="AJ4953" s="93"/>
    </row>
    <row r="4954" spans="30:36" ht="18">
      <c r="AD4954" s="93"/>
      <c r="AE4954" s="214"/>
      <c r="AF4954" s="93"/>
      <c r="AG4954" s="93"/>
      <c r="AH4954" s="93"/>
      <c r="AI4954" s="93"/>
      <c r="AJ4954" s="93"/>
    </row>
    <row r="4955" spans="30:36" ht="18">
      <c r="AD4955" s="93"/>
      <c r="AE4955" s="214"/>
      <c r="AF4955" s="93"/>
      <c r="AG4955" s="93"/>
      <c r="AH4955" s="93"/>
      <c r="AI4955" s="93"/>
      <c r="AJ4955" s="93"/>
    </row>
    <row r="4956" spans="30:36" ht="18">
      <c r="AD4956" s="93"/>
      <c r="AE4956" s="214"/>
      <c r="AF4956" s="93"/>
      <c r="AG4956" s="93"/>
      <c r="AH4956" s="93"/>
      <c r="AI4956" s="93"/>
      <c r="AJ4956" s="93"/>
    </row>
    <row r="4957" spans="30:36" ht="18">
      <c r="AD4957" s="93"/>
      <c r="AE4957" s="214"/>
      <c r="AF4957" s="93"/>
      <c r="AG4957" s="93"/>
      <c r="AH4957" s="93"/>
      <c r="AI4957" s="93"/>
      <c r="AJ4957" s="93"/>
    </row>
    <row r="4958" spans="30:36" ht="18">
      <c r="AD4958" s="93"/>
      <c r="AE4958" s="214"/>
      <c r="AF4958" s="93"/>
      <c r="AG4958" s="93"/>
      <c r="AH4958" s="93"/>
      <c r="AI4958" s="93"/>
      <c r="AJ4958" s="93"/>
    </row>
    <row r="4959" spans="30:36" ht="18">
      <c r="AD4959" s="93"/>
      <c r="AE4959" s="214"/>
      <c r="AF4959" s="93"/>
      <c r="AG4959" s="93"/>
      <c r="AH4959" s="93"/>
      <c r="AI4959" s="93"/>
      <c r="AJ4959" s="93"/>
    </row>
    <row r="4960" spans="30:36" ht="18">
      <c r="AD4960" s="93"/>
      <c r="AE4960" s="214"/>
      <c r="AF4960" s="93"/>
      <c r="AG4960" s="93"/>
      <c r="AH4960" s="93"/>
      <c r="AI4960" s="93"/>
      <c r="AJ4960" s="93"/>
    </row>
    <row r="4961" spans="30:36" ht="18">
      <c r="AD4961" s="93"/>
      <c r="AE4961" s="214"/>
      <c r="AF4961" s="93"/>
      <c r="AG4961" s="93"/>
      <c r="AH4961" s="93"/>
      <c r="AI4961" s="93"/>
      <c r="AJ4961" s="93"/>
    </row>
    <row r="4962" spans="30:36" ht="18">
      <c r="AD4962" s="93"/>
      <c r="AE4962" s="214"/>
      <c r="AF4962" s="93"/>
      <c r="AG4962" s="93"/>
      <c r="AH4962" s="93"/>
      <c r="AI4962" s="93"/>
      <c r="AJ4962" s="93"/>
    </row>
    <row r="4963" spans="30:36" ht="18">
      <c r="AD4963" s="93"/>
      <c r="AE4963" s="214"/>
      <c r="AF4963" s="93"/>
      <c r="AG4963" s="93"/>
      <c r="AH4963" s="93"/>
      <c r="AI4963" s="93"/>
      <c r="AJ4963" s="93"/>
    </row>
    <row r="4964" spans="30:36" ht="18">
      <c r="AD4964" s="93"/>
      <c r="AE4964" s="214"/>
      <c r="AF4964" s="93"/>
      <c r="AG4964" s="93"/>
      <c r="AH4964" s="93"/>
      <c r="AI4964" s="93"/>
      <c r="AJ4964" s="93"/>
    </row>
    <row r="4965" spans="30:36" ht="18">
      <c r="AD4965" s="93"/>
      <c r="AE4965" s="214"/>
      <c r="AF4965" s="93"/>
      <c r="AG4965" s="93"/>
      <c r="AH4965" s="93"/>
      <c r="AI4965" s="93"/>
      <c r="AJ4965" s="93"/>
    </row>
    <row r="4966" spans="30:36" ht="18">
      <c r="AD4966" s="93"/>
      <c r="AE4966" s="214"/>
      <c r="AF4966" s="93"/>
      <c r="AG4966" s="93"/>
      <c r="AH4966" s="93"/>
      <c r="AI4966" s="93"/>
      <c r="AJ4966" s="93"/>
    </row>
    <row r="4967" spans="30:36" ht="18">
      <c r="AD4967" s="93"/>
      <c r="AE4967" s="214"/>
      <c r="AF4967" s="93"/>
      <c r="AG4967" s="93"/>
      <c r="AH4967" s="93"/>
      <c r="AI4967" s="93"/>
      <c r="AJ4967" s="93"/>
    </row>
    <row r="4968" spans="30:36" ht="18">
      <c r="AD4968" s="93"/>
      <c r="AE4968" s="214"/>
      <c r="AF4968" s="93"/>
      <c r="AG4968" s="93"/>
      <c r="AH4968" s="93"/>
      <c r="AI4968" s="93"/>
      <c r="AJ4968" s="93"/>
    </row>
    <row r="4969" spans="30:36" ht="18">
      <c r="AD4969" s="93"/>
      <c r="AE4969" s="214"/>
      <c r="AF4969" s="93"/>
      <c r="AG4969" s="93"/>
      <c r="AH4969" s="93"/>
      <c r="AI4969" s="93"/>
      <c r="AJ4969" s="93"/>
    </row>
    <row r="4970" spans="30:36" ht="18">
      <c r="AD4970" s="93"/>
      <c r="AE4970" s="214"/>
      <c r="AF4970" s="93"/>
      <c r="AG4970" s="93"/>
      <c r="AH4970" s="93"/>
      <c r="AI4970" s="93"/>
      <c r="AJ4970" s="93"/>
    </row>
    <row r="4971" spans="30:36" ht="18">
      <c r="AD4971" s="93"/>
      <c r="AE4971" s="214"/>
      <c r="AF4971" s="93"/>
      <c r="AG4971" s="93"/>
      <c r="AH4971" s="93"/>
      <c r="AI4971" s="93"/>
      <c r="AJ4971" s="93"/>
    </row>
    <row r="4972" spans="30:36" ht="18">
      <c r="AD4972" s="93"/>
      <c r="AE4972" s="214"/>
      <c r="AF4972" s="93"/>
      <c r="AG4972" s="93"/>
      <c r="AH4972" s="93"/>
      <c r="AI4972" s="93"/>
      <c r="AJ4972" s="93"/>
    </row>
    <row r="4973" spans="30:36" ht="18">
      <c r="AD4973" s="93"/>
      <c r="AE4973" s="214"/>
      <c r="AF4973" s="93"/>
      <c r="AG4973" s="93"/>
      <c r="AH4973" s="93"/>
      <c r="AI4973" s="93"/>
      <c r="AJ4973" s="93"/>
    </row>
    <row r="4974" spans="30:36" ht="18">
      <c r="AD4974" s="93"/>
      <c r="AE4974" s="215"/>
      <c r="AF4974" s="93"/>
      <c r="AG4974" s="93"/>
      <c r="AH4974" s="93"/>
      <c r="AI4974" s="93"/>
      <c r="AJ4974" s="93"/>
    </row>
    <row r="4975" spans="30:36" ht="18">
      <c r="AD4975" s="93"/>
      <c r="AE4975" s="215"/>
      <c r="AF4975" s="93"/>
      <c r="AG4975" s="93"/>
      <c r="AH4975" s="93"/>
      <c r="AI4975" s="93"/>
      <c r="AJ4975" s="93"/>
    </row>
    <row r="4976" spans="30:36" ht="18">
      <c r="AD4976" s="93"/>
      <c r="AE4976" s="214"/>
      <c r="AF4976" s="93"/>
      <c r="AG4976" s="93"/>
      <c r="AH4976" s="93"/>
      <c r="AI4976" s="93"/>
      <c r="AJ4976" s="93"/>
    </row>
    <row r="4977" spans="30:36" ht="18">
      <c r="AD4977" s="93"/>
      <c r="AE4977" s="214"/>
      <c r="AF4977" s="93"/>
      <c r="AG4977" s="93"/>
      <c r="AH4977" s="93"/>
      <c r="AI4977" s="93"/>
      <c r="AJ4977" s="93"/>
    </row>
    <row r="4978" spans="30:36" ht="18">
      <c r="AD4978" s="93"/>
      <c r="AE4978" s="214"/>
      <c r="AF4978" s="93"/>
      <c r="AG4978" s="93"/>
      <c r="AH4978" s="93"/>
      <c r="AI4978" s="93"/>
      <c r="AJ4978" s="93"/>
    </row>
    <row r="4979" spans="30:36" ht="18">
      <c r="AD4979" s="93"/>
      <c r="AE4979" s="214"/>
      <c r="AF4979" s="93"/>
      <c r="AG4979" s="93"/>
      <c r="AH4979" s="93"/>
      <c r="AI4979" s="93"/>
      <c r="AJ4979" s="93"/>
    </row>
    <row r="4980" spans="30:36" ht="18">
      <c r="AD4980" s="93"/>
      <c r="AE4980" s="214"/>
      <c r="AF4980" s="93"/>
      <c r="AG4980" s="93"/>
      <c r="AH4980" s="93"/>
      <c r="AI4980" s="93"/>
      <c r="AJ4980" s="93"/>
    </row>
    <row r="4981" spans="30:36" ht="18">
      <c r="AD4981" s="93"/>
      <c r="AE4981" s="214"/>
      <c r="AF4981" s="93"/>
      <c r="AG4981" s="93"/>
      <c r="AH4981" s="93"/>
      <c r="AI4981" s="93"/>
      <c r="AJ4981" s="93"/>
    </row>
    <row r="4982" spans="30:36" ht="18">
      <c r="AD4982" s="93"/>
      <c r="AE4982" s="214"/>
      <c r="AF4982" s="93"/>
      <c r="AG4982" s="93"/>
      <c r="AH4982" s="93"/>
      <c r="AI4982" s="93"/>
      <c r="AJ4982" s="93"/>
    </row>
    <row r="4983" spans="30:36" ht="18">
      <c r="AD4983" s="93"/>
      <c r="AE4983" s="214"/>
      <c r="AF4983" s="93"/>
      <c r="AG4983" s="93"/>
      <c r="AH4983" s="93"/>
      <c r="AI4983" s="93"/>
      <c r="AJ4983" s="93"/>
    </row>
    <row r="4984" spans="30:36" ht="18">
      <c r="AD4984" s="93"/>
      <c r="AE4984" s="214"/>
      <c r="AF4984" s="93"/>
      <c r="AG4984" s="93"/>
      <c r="AH4984" s="93"/>
      <c r="AI4984" s="93"/>
      <c r="AJ4984" s="93"/>
    </row>
    <row r="4985" spans="30:36" ht="18">
      <c r="AD4985" s="93"/>
      <c r="AE4985" s="215"/>
      <c r="AF4985" s="93"/>
      <c r="AG4985" s="93"/>
      <c r="AH4985" s="93"/>
      <c r="AI4985" s="93"/>
      <c r="AJ4985" s="93"/>
    </row>
    <row r="4986" spans="30:36" ht="18">
      <c r="AD4986" s="93"/>
      <c r="AE4986" s="215"/>
      <c r="AF4986" s="93"/>
      <c r="AG4986" s="93"/>
      <c r="AH4986" s="93"/>
      <c r="AI4986" s="93"/>
      <c r="AJ4986" s="93"/>
    </row>
    <row r="4987" spans="30:36" ht="18">
      <c r="AD4987" s="93"/>
      <c r="AE4987" s="214"/>
      <c r="AF4987" s="93"/>
      <c r="AG4987" s="93"/>
      <c r="AH4987" s="93"/>
      <c r="AI4987" s="93"/>
      <c r="AJ4987" s="93"/>
    </row>
    <row r="4988" spans="30:36" ht="18">
      <c r="AD4988" s="93"/>
      <c r="AE4988" s="214"/>
      <c r="AF4988" s="93"/>
      <c r="AG4988" s="93"/>
      <c r="AH4988" s="93"/>
      <c r="AI4988" s="93"/>
      <c r="AJ4988" s="93"/>
    </row>
    <row r="4989" spans="30:36" ht="18">
      <c r="AD4989" s="93"/>
      <c r="AE4989" s="214"/>
      <c r="AF4989" s="93"/>
      <c r="AG4989" s="93"/>
      <c r="AH4989" s="93"/>
      <c r="AI4989" s="93"/>
      <c r="AJ4989" s="93"/>
    </row>
    <row r="4990" spans="30:36" ht="18">
      <c r="AD4990" s="93"/>
      <c r="AE4990" s="214"/>
      <c r="AF4990" s="93"/>
      <c r="AG4990" s="93"/>
      <c r="AH4990" s="93"/>
      <c r="AI4990" s="93"/>
      <c r="AJ4990" s="93"/>
    </row>
    <row r="4991" spans="30:36" ht="18">
      <c r="AD4991" s="93"/>
      <c r="AE4991" s="214"/>
      <c r="AF4991" s="93"/>
      <c r="AG4991" s="93"/>
      <c r="AH4991" s="93"/>
      <c r="AI4991" s="93"/>
      <c r="AJ4991" s="93"/>
    </row>
    <row r="4992" spans="30:36" ht="18">
      <c r="AD4992" s="93"/>
      <c r="AE4992" s="214"/>
      <c r="AF4992" s="93"/>
      <c r="AG4992" s="93"/>
      <c r="AH4992" s="93"/>
      <c r="AI4992" s="93"/>
      <c r="AJ4992" s="93"/>
    </row>
    <row r="4993" spans="30:36" ht="18">
      <c r="AD4993" s="93"/>
      <c r="AE4993" s="214"/>
      <c r="AF4993" s="93"/>
      <c r="AG4993" s="93"/>
      <c r="AH4993" s="93"/>
      <c r="AI4993" s="93"/>
      <c r="AJ4993" s="93"/>
    </row>
    <row r="4994" spans="30:36" ht="18">
      <c r="AD4994" s="93"/>
      <c r="AE4994" s="215"/>
      <c r="AF4994" s="93"/>
      <c r="AG4994" s="93"/>
      <c r="AH4994" s="93"/>
      <c r="AI4994" s="93"/>
      <c r="AJ4994" s="93"/>
    </row>
    <row r="4995" spans="30:36" ht="18">
      <c r="AD4995" s="93"/>
      <c r="AE4995" s="215"/>
      <c r="AF4995" s="93"/>
      <c r="AG4995" s="93"/>
      <c r="AH4995" s="93"/>
      <c r="AI4995" s="93"/>
      <c r="AJ4995" s="93"/>
    </row>
    <row r="4996" spans="30:36" ht="18">
      <c r="AD4996" s="93"/>
      <c r="AE4996" s="214"/>
      <c r="AF4996" s="93"/>
      <c r="AG4996" s="93"/>
      <c r="AH4996" s="93"/>
      <c r="AI4996" s="93"/>
      <c r="AJ4996" s="93"/>
    </row>
    <row r="4997" spans="30:36" ht="18">
      <c r="AD4997" s="93"/>
      <c r="AE4997" s="214"/>
      <c r="AF4997" s="93"/>
      <c r="AG4997" s="93"/>
      <c r="AH4997" s="93"/>
      <c r="AI4997" s="93"/>
      <c r="AJ4997" s="93"/>
    </row>
    <row r="4998" spans="30:36" ht="18">
      <c r="AD4998" s="93"/>
      <c r="AE4998" s="214"/>
      <c r="AF4998" s="93"/>
      <c r="AG4998" s="93"/>
      <c r="AH4998" s="93"/>
      <c r="AI4998" s="93"/>
      <c r="AJ4998" s="93"/>
    </row>
    <row r="4999" spans="30:36" ht="18">
      <c r="AD4999" s="93"/>
      <c r="AE4999" s="214"/>
      <c r="AF4999" s="93"/>
      <c r="AG4999" s="93"/>
      <c r="AH4999" s="93"/>
      <c r="AI4999" s="93"/>
      <c r="AJ4999" s="93"/>
    </row>
    <row r="5000" spans="30:36" ht="18">
      <c r="AD5000" s="93"/>
      <c r="AE5000" s="214"/>
      <c r="AF5000" s="93"/>
      <c r="AG5000" s="93"/>
      <c r="AH5000" s="93"/>
      <c r="AI5000" s="93"/>
      <c r="AJ5000" s="93"/>
    </row>
    <row r="5001" spans="30:36" ht="18">
      <c r="AD5001" s="93"/>
      <c r="AE5001" s="214"/>
      <c r="AF5001" s="93"/>
      <c r="AG5001" s="93"/>
      <c r="AH5001" s="93"/>
      <c r="AI5001" s="93"/>
      <c r="AJ5001" s="93"/>
    </row>
    <row r="5002" spans="30:36" ht="18">
      <c r="AD5002" s="93"/>
      <c r="AE5002" s="214"/>
      <c r="AF5002" s="93"/>
      <c r="AG5002" s="93"/>
      <c r="AH5002" s="93"/>
      <c r="AI5002" s="93"/>
      <c r="AJ5002" s="93"/>
    </row>
    <row r="5003" spans="30:36" ht="18">
      <c r="AD5003" s="93"/>
      <c r="AE5003" s="214"/>
      <c r="AF5003" s="93"/>
      <c r="AG5003" s="93"/>
      <c r="AH5003" s="93"/>
      <c r="AI5003" s="93"/>
      <c r="AJ5003" s="93"/>
    </row>
    <row r="5004" spans="30:36" ht="18">
      <c r="AD5004" s="93"/>
      <c r="AE5004" s="214"/>
      <c r="AF5004" s="93"/>
      <c r="AG5004" s="93"/>
      <c r="AH5004" s="93"/>
      <c r="AI5004" s="93"/>
      <c r="AJ5004" s="93"/>
    </row>
    <row r="5005" spans="30:36" ht="18">
      <c r="AD5005" s="93"/>
      <c r="AE5005" s="214"/>
      <c r="AF5005" s="93"/>
      <c r="AG5005" s="93"/>
      <c r="AH5005" s="93"/>
      <c r="AI5005" s="93"/>
      <c r="AJ5005" s="93"/>
    </row>
    <row r="5006" spans="30:36" ht="18">
      <c r="AD5006" s="93"/>
      <c r="AE5006" s="214"/>
      <c r="AF5006" s="93"/>
      <c r="AG5006" s="93"/>
      <c r="AH5006" s="93"/>
      <c r="AI5006" s="93"/>
      <c r="AJ5006" s="93"/>
    </row>
    <row r="5007" spans="30:36" ht="18">
      <c r="AD5007" s="93"/>
      <c r="AE5007" s="214"/>
      <c r="AF5007" s="93"/>
      <c r="AG5007" s="93"/>
      <c r="AH5007" s="93"/>
      <c r="AI5007" s="93"/>
      <c r="AJ5007" s="93"/>
    </row>
    <row r="5008" spans="30:36" ht="18">
      <c r="AD5008" s="93"/>
      <c r="AE5008" s="214"/>
      <c r="AF5008" s="93"/>
      <c r="AG5008" s="93"/>
      <c r="AH5008" s="93"/>
      <c r="AI5008" s="93"/>
      <c r="AJ5008" s="93"/>
    </row>
    <row r="5009" spans="30:36" ht="18">
      <c r="AD5009" s="93"/>
      <c r="AE5009" s="214"/>
      <c r="AF5009" s="93"/>
      <c r="AG5009" s="93"/>
      <c r="AH5009" s="93"/>
      <c r="AI5009" s="93"/>
      <c r="AJ5009" s="93"/>
    </row>
    <row r="5010" spans="30:36" ht="18">
      <c r="AD5010" s="93"/>
      <c r="AE5010" s="214"/>
      <c r="AF5010" s="93"/>
      <c r="AG5010" s="93"/>
      <c r="AH5010" s="93"/>
      <c r="AI5010" s="93"/>
      <c r="AJ5010" s="93"/>
    </row>
    <row r="5011" spans="30:36" ht="18">
      <c r="AD5011" s="93"/>
      <c r="AE5011" s="214"/>
      <c r="AF5011" s="93"/>
      <c r="AG5011" s="93"/>
      <c r="AH5011" s="93"/>
      <c r="AI5011" s="93"/>
      <c r="AJ5011" s="93"/>
    </row>
    <row r="5012" spans="30:36" ht="18">
      <c r="AD5012" s="93"/>
      <c r="AE5012" s="214"/>
      <c r="AF5012" s="93"/>
      <c r="AG5012" s="93"/>
      <c r="AH5012" s="93"/>
      <c r="AI5012" s="93"/>
      <c r="AJ5012" s="93"/>
    </row>
    <row r="5013" spans="30:36" ht="18">
      <c r="AD5013" s="93"/>
      <c r="AE5013" s="214"/>
      <c r="AF5013" s="93"/>
      <c r="AG5013" s="93"/>
      <c r="AH5013" s="93"/>
      <c r="AI5013" s="93"/>
      <c r="AJ5013" s="93"/>
    </row>
    <row r="5014" spans="30:36" ht="18">
      <c r="AD5014" s="93"/>
      <c r="AE5014" s="214"/>
      <c r="AF5014" s="93"/>
      <c r="AG5014" s="93"/>
      <c r="AH5014" s="93"/>
      <c r="AI5014" s="93"/>
      <c r="AJ5014" s="93"/>
    </row>
    <row r="5015" spans="30:36" ht="18">
      <c r="AD5015" s="93"/>
      <c r="AE5015" s="214"/>
      <c r="AF5015" s="93"/>
      <c r="AG5015" s="93"/>
      <c r="AH5015" s="93"/>
      <c r="AI5015" s="93"/>
      <c r="AJ5015" s="93"/>
    </row>
    <row r="5016" spans="30:36" ht="18">
      <c r="AD5016" s="93"/>
      <c r="AE5016" s="214"/>
      <c r="AF5016" s="93"/>
      <c r="AG5016" s="93"/>
      <c r="AH5016" s="93"/>
      <c r="AI5016" s="93"/>
      <c r="AJ5016" s="93"/>
    </row>
    <row r="5017" spans="30:36" ht="18">
      <c r="AD5017" s="93"/>
      <c r="AE5017" s="214"/>
      <c r="AF5017" s="93"/>
      <c r="AG5017" s="93"/>
      <c r="AH5017" s="93"/>
      <c r="AI5017" s="93"/>
      <c r="AJ5017" s="93"/>
    </row>
    <row r="5018" spans="30:36" ht="18">
      <c r="AD5018" s="93"/>
      <c r="AE5018" s="214"/>
      <c r="AF5018" s="93"/>
      <c r="AG5018" s="93"/>
      <c r="AH5018" s="93"/>
      <c r="AI5018" s="93"/>
      <c r="AJ5018" s="93"/>
    </row>
    <row r="5019" spans="30:36" ht="18">
      <c r="AD5019" s="93"/>
      <c r="AE5019" s="214"/>
      <c r="AF5019" s="93"/>
      <c r="AG5019" s="93"/>
      <c r="AH5019" s="93"/>
      <c r="AI5019" s="93"/>
      <c r="AJ5019" s="93"/>
    </row>
    <row r="5020" spans="30:36" ht="18">
      <c r="AD5020" s="93"/>
      <c r="AE5020" s="214"/>
      <c r="AF5020" s="93"/>
      <c r="AG5020" s="93"/>
      <c r="AH5020" s="93"/>
      <c r="AI5020" s="93"/>
      <c r="AJ5020" s="93"/>
    </row>
    <row r="5021" spans="30:36" ht="18">
      <c r="AD5021" s="93"/>
      <c r="AE5021" s="214"/>
      <c r="AF5021" s="93"/>
      <c r="AG5021" s="93"/>
      <c r="AH5021" s="93"/>
      <c r="AI5021" s="93"/>
      <c r="AJ5021" s="93"/>
    </row>
    <row r="5022" spans="30:36" ht="18">
      <c r="AD5022" s="93"/>
      <c r="AE5022" s="214"/>
      <c r="AF5022" s="93"/>
      <c r="AG5022" s="93"/>
      <c r="AH5022" s="93"/>
      <c r="AI5022" s="93"/>
      <c r="AJ5022" s="93"/>
    </row>
    <row r="5023" spans="30:36" ht="18">
      <c r="AD5023" s="93"/>
      <c r="AE5023" s="214"/>
      <c r="AF5023" s="93"/>
      <c r="AG5023" s="93"/>
      <c r="AH5023" s="93"/>
      <c r="AI5023" s="93"/>
      <c r="AJ5023" s="93"/>
    </row>
    <row r="5024" spans="30:36" ht="18">
      <c r="AD5024" s="93"/>
      <c r="AE5024" s="214"/>
      <c r="AF5024" s="93"/>
      <c r="AG5024" s="93"/>
      <c r="AH5024" s="93"/>
      <c r="AI5024" s="93"/>
      <c r="AJ5024" s="93"/>
    </row>
    <row r="5025" spans="30:36" ht="18">
      <c r="AD5025" s="93"/>
      <c r="AE5025" s="214"/>
      <c r="AF5025" s="93"/>
      <c r="AG5025" s="93"/>
      <c r="AH5025" s="93"/>
      <c r="AI5025" s="93"/>
      <c r="AJ5025" s="93"/>
    </row>
    <row r="5026" spans="30:36" ht="18">
      <c r="AD5026" s="93"/>
      <c r="AE5026" s="214"/>
      <c r="AF5026" s="93"/>
      <c r="AG5026" s="93"/>
      <c r="AH5026" s="93"/>
      <c r="AI5026" s="93"/>
      <c r="AJ5026" s="93"/>
    </row>
    <row r="5027" spans="30:36" ht="18">
      <c r="AD5027" s="93"/>
      <c r="AE5027" s="214"/>
      <c r="AF5027" s="93"/>
      <c r="AG5027" s="93"/>
      <c r="AH5027" s="93"/>
      <c r="AI5027" s="93"/>
      <c r="AJ5027" s="93"/>
    </row>
    <row r="5028" spans="30:36" ht="18">
      <c r="AD5028" s="93"/>
      <c r="AE5028" s="214"/>
      <c r="AF5028" s="93"/>
      <c r="AG5028" s="93"/>
      <c r="AH5028" s="93"/>
      <c r="AI5028" s="93"/>
      <c r="AJ5028" s="93"/>
    </row>
    <row r="5029" spans="30:36" ht="18">
      <c r="AD5029" s="93"/>
      <c r="AE5029" s="214"/>
      <c r="AF5029" s="93"/>
      <c r="AG5029" s="93"/>
      <c r="AH5029" s="93"/>
      <c r="AI5029" s="93"/>
      <c r="AJ5029" s="93"/>
    </row>
    <row r="5030" spans="30:36" ht="18">
      <c r="AD5030" s="93"/>
      <c r="AE5030" s="214"/>
      <c r="AF5030" s="93"/>
      <c r="AG5030" s="93"/>
      <c r="AH5030" s="93"/>
      <c r="AI5030" s="93"/>
      <c r="AJ5030" s="93"/>
    </row>
    <row r="5031" spans="30:36" ht="18">
      <c r="AD5031" s="93"/>
      <c r="AE5031" s="214"/>
      <c r="AF5031" s="93"/>
      <c r="AG5031" s="93"/>
      <c r="AH5031" s="93"/>
      <c r="AI5031" s="93"/>
      <c r="AJ5031" s="93"/>
    </row>
    <row r="5032" spans="30:36" ht="18">
      <c r="AD5032" s="93"/>
      <c r="AE5032" s="214"/>
      <c r="AF5032" s="93"/>
      <c r="AG5032" s="93"/>
      <c r="AH5032" s="93"/>
      <c r="AI5032" s="93"/>
      <c r="AJ5032" s="93"/>
    </row>
    <row r="5033" spans="30:36" ht="18">
      <c r="AD5033" s="93"/>
      <c r="AE5033" s="214"/>
      <c r="AF5033" s="93"/>
      <c r="AG5033" s="93"/>
      <c r="AH5033" s="93"/>
      <c r="AI5033" s="93"/>
      <c r="AJ5033" s="93"/>
    </row>
    <row r="5034" spans="30:36" ht="18">
      <c r="AD5034" s="93"/>
      <c r="AE5034" s="214"/>
      <c r="AF5034" s="93"/>
      <c r="AG5034" s="93"/>
      <c r="AH5034" s="93"/>
      <c r="AI5034" s="93"/>
      <c r="AJ5034" s="93"/>
    </row>
    <row r="5035" spans="30:36" ht="18">
      <c r="AD5035" s="93"/>
      <c r="AE5035" s="214"/>
      <c r="AF5035" s="93"/>
      <c r="AG5035" s="93"/>
      <c r="AH5035" s="93"/>
      <c r="AI5035" s="93"/>
      <c r="AJ5035" s="93"/>
    </row>
    <row r="5036" spans="30:36" ht="18">
      <c r="AD5036" s="93"/>
      <c r="AE5036" s="214"/>
      <c r="AF5036" s="93"/>
      <c r="AG5036" s="93"/>
      <c r="AH5036" s="93"/>
      <c r="AI5036" s="93"/>
      <c r="AJ5036" s="93"/>
    </row>
    <row r="5037" spans="30:36" ht="18">
      <c r="AD5037" s="93"/>
      <c r="AE5037" s="214"/>
      <c r="AF5037" s="93"/>
      <c r="AG5037" s="93"/>
      <c r="AH5037" s="93"/>
      <c r="AI5037" s="93"/>
      <c r="AJ5037" s="93"/>
    </row>
    <row r="5038" spans="30:36" ht="18">
      <c r="AD5038" s="93"/>
      <c r="AE5038" s="214"/>
      <c r="AF5038" s="93"/>
      <c r="AG5038" s="93"/>
      <c r="AH5038" s="93"/>
      <c r="AI5038" s="93"/>
      <c r="AJ5038" s="93"/>
    </row>
    <row r="5039" spans="30:36" ht="18">
      <c r="AD5039" s="93"/>
      <c r="AE5039" s="214"/>
      <c r="AF5039" s="93"/>
      <c r="AG5039" s="93"/>
      <c r="AH5039" s="93"/>
      <c r="AI5039" s="93"/>
      <c r="AJ5039" s="93"/>
    </row>
    <row r="5040" spans="30:36" ht="18">
      <c r="AD5040" s="93"/>
      <c r="AE5040" s="214"/>
      <c r="AF5040" s="93"/>
      <c r="AG5040" s="93"/>
      <c r="AH5040" s="93"/>
      <c r="AI5040" s="93"/>
      <c r="AJ5040" s="93"/>
    </row>
    <row r="5041" spans="30:36" ht="18">
      <c r="AD5041" s="93"/>
      <c r="AE5041" s="214"/>
      <c r="AF5041" s="93"/>
      <c r="AG5041" s="93"/>
      <c r="AH5041" s="93"/>
      <c r="AI5041" s="93"/>
      <c r="AJ5041" s="93"/>
    </row>
    <row r="5042" spans="30:36" ht="18">
      <c r="AD5042" s="93"/>
      <c r="AE5042" s="214"/>
      <c r="AF5042" s="93"/>
      <c r="AG5042" s="93"/>
      <c r="AH5042" s="93"/>
      <c r="AI5042" s="93"/>
      <c r="AJ5042" s="93"/>
    </row>
    <row r="5043" spans="30:36" ht="18">
      <c r="AD5043" s="93"/>
      <c r="AE5043" s="214"/>
      <c r="AF5043" s="93"/>
      <c r="AG5043" s="93"/>
      <c r="AH5043" s="93"/>
      <c r="AI5043" s="93"/>
      <c r="AJ5043" s="93"/>
    </row>
    <row r="5044" spans="30:36" ht="18">
      <c r="AD5044" s="93"/>
      <c r="AE5044" s="215"/>
      <c r="AF5044" s="93"/>
      <c r="AG5044" s="93"/>
      <c r="AH5044" s="93"/>
      <c r="AI5044" s="93"/>
      <c r="AJ5044" s="93"/>
    </row>
    <row r="5045" spans="30:36" ht="18">
      <c r="AD5045" s="93"/>
      <c r="AE5045" s="214"/>
      <c r="AF5045" s="93"/>
      <c r="AG5045" s="93"/>
      <c r="AH5045" s="93"/>
      <c r="AI5045" s="93"/>
      <c r="AJ5045" s="93"/>
    </row>
    <row r="5046" spans="30:36" ht="18">
      <c r="AD5046" s="93"/>
      <c r="AE5046" s="214"/>
      <c r="AF5046" s="93"/>
      <c r="AG5046" s="93"/>
      <c r="AH5046" s="93"/>
      <c r="AI5046" s="93"/>
      <c r="AJ5046" s="93"/>
    </row>
    <row r="5047" spans="30:36" ht="18">
      <c r="AD5047" s="93"/>
      <c r="AE5047" s="214"/>
      <c r="AF5047" s="93"/>
      <c r="AG5047" s="93"/>
      <c r="AH5047" s="93"/>
      <c r="AI5047" s="93"/>
      <c r="AJ5047" s="93"/>
    </row>
    <row r="5048" spans="30:36" ht="18">
      <c r="AD5048" s="93"/>
      <c r="AE5048" s="214"/>
      <c r="AF5048" s="93"/>
      <c r="AG5048" s="93"/>
      <c r="AH5048" s="93"/>
      <c r="AI5048" s="93"/>
      <c r="AJ5048" s="93"/>
    </row>
    <row r="5049" spans="30:36" ht="18">
      <c r="AD5049" s="93"/>
      <c r="AE5049" s="214"/>
      <c r="AF5049" s="93"/>
      <c r="AG5049" s="93"/>
      <c r="AH5049" s="93"/>
      <c r="AI5049" s="93"/>
      <c r="AJ5049" s="93"/>
    </row>
    <row r="5050" spans="30:36" ht="18">
      <c r="AD5050" s="93"/>
      <c r="AE5050" s="214"/>
      <c r="AF5050" s="93"/>
      <c r="AG5050" s="93"/>
      <c r="AH5050" s="93"/>
      <c r="AI5050" s="93"/>
      <c r="AJ5050" s="93"/>
    </row>
    <row r="5051" spans="30:36" ht="18">
      <c r="AD5051" s="93"/>
      <c r="AE5051" s="214"/>
      <c r="AF5051" s="93"/>
      <c r="AG5051" s="93"/>
      <c r="AH5051" s="93"/>
      <c r="AI5051" s="93"/>
      <c r="AJ5051" s="93"/>
    </row>
    <row r="5052" spans="30:36" ht="18">
      <c r="AD5052" s="93"/>
      <c r="AE5052" s="214"/>
      <c r="AF5052" s="93"/>
      <c r="AG5052" s="93"/>
      <c r="AH5052" s="93"/>
      <c r="AI5052" s="93"/>
      <c r="AJ5052" s="93"/>
    </row>
    <row r="5053" spans="30:36" ht="18">
      <c r="AD5053" s="93"/>
      <c r="AE5053" s="214"/>
      <c r="AF5053" s="93"/>
      <c r="AG5053" s="93"/>
      <c r="AH5053" s="93"/>
      <c r="AI5053" s="93"/>
      <c r="AJ5053" s="93"/>
    </row>
    <row r="5054" spans="30:36" ht="18">
      <c r="AD5054" s="93"/>
      <c r="AE5054" s="214"/>
      <c r="AF5054" s="93"/>
      <c r="AG5054" s="93"/>
      <c r="AH5054" s="93"/>
      <c r="AI5054" s="93"/>
      <c r="AJ5054" s="93"/>
    </row>
    <row r="5055" spans="30:36" ht="18">
      <c r="AD5055" s="93"/>
      <c r="AE5055" s="214"/>
      <c r="AF5055" s="93"/>
      <c r="AG5055" s="93"/>
      <c r="AH5055" s="93"/>
      <c r="AI5055" s="93"/>
      <c r="AJ5055" s="93"/>
    </row>
    <row r="5056" spans="30:36" ht="18">
      <c r="AD5056" s="93"/>
      <c r="AE5056" s="214"/>
      <c r="AF5056" s="93"/>
      <c r="AG5056" s="93"/>
      <c r="AH5056" s="93"/>
      <c r="AI5056" s="93"/>
      <c r="AJ5056" s="93"/>
    </row>
    <row r="5057" spans="30:36" ht="18">
      <c r="AD5057" s="93"/>
      <c r="AE5057" s="214"/>
      <c r="AF5057" s="93"/>
      <c r="AG5057" s="93"/>
      <c r="AH5057" s="93"/>
      <c r="AI5057" s="93"/>
      <c r="AJ5057" s="93"/>
    </row>
    <row r="5058" spans="30:36" ht="18">
      <c r="AD5058" s="93"/>
      <c r="AE5058" s="214"/>
      <c r="AF5058" s="93"/>
      <c r="AG5058" s="93"/>
      <c r="AH5058" s="93"/>
      <c r="AI5058" s="93"/>
      <c r="AJ5058" s="93"/>
    </row>
    <row r="5059" spans="30:36" ht="18">
      <c r="AD5059" s="93"/>
      <c r="AE5059" s="214"/>
      <c r="AF5059" s="93"/>
      <c r="AG5059" s="93"/>
      <c r="AH5059" s="93"/>
      <c r="AI5059" s="93"/>
      <c r="AJ5059" s="93"/>
    </row>
    <row r="5060" spans="30:36" ht="18">
      <c r="AD5060" s="93"/>
      <c r="AE5060" s="214"/>
      <c r="AF5060" s="93"/>
      <c r="AG5060" s="93"/>
      <c r="AH5060" s="93"/>
      <c r="AI5060" s="93"/>
      <c r="AJ5060" s="93"/>
    </row>
    <row r="5061" spans="30:36" ht="18">
      <c r="AD5061" s="93"/>
      <c r="AE5061" s="214"/>
      <c r="AF5061" s="93"/>
      <c r="AG5061" s="93"/>
      <c r="AH5061" s="93"/>
      <c r="AI5061" s="93"/>
      <c r="AJ5061" s="93"/>
    </row>
    <row r="5062" spans="30:36" ht="18">
      <c r="AD5062" s="93"/>
      <c r="AE5062" s="214"/>
      <c r="AF5062" s="93"/>
      <c r="AG5062" s="93"/>
      <c r="AH5062" s="93"/>
      <c r="AI5062" s="93"/>
      <c r="AJ5062" s="93"/>
    </row>
    <row r="5063" spans="30:36" ht="18">
      <c r="AD5063" s="93"/>
      <c r="AE5063" s="215"/>
      <c r="AF5063" s="93"/>
      <c r="AG5063" s="93"/>
      <c r="AH5063" s="93"/>
      <c r="AI5063" s="93"/>
      <c r="AJ5063" s="93"/>
    </row>
    <row r="5064" spans="30:36" ht="18">
      <c r="AD5064" s="93"/>
      <c r="AE5064" s="214"/>
      <c r="AF5064" s="93"/>
      <c r="AG5064" s="93"/>
      <c r="AH5064" s="93"/>
      <c r="AI5064" s="93"/>
      <c r="AJ5064" s="93"/>
    </row>
    <row r="5065" spans="30:36" ht="18">
      <c r="AD5065" s="93"/>
      <c r="AE5065" s="214"/>
      <c r="AF5065" s="93"/>
      <c r="AG5065" s="93"/>
      <c r="AH5065" s="93"/>
      <c r="AI5065" s="93"/>
      <c r="AJ5065" s="93"/>
    </row>
    <row r="5066" spans="30:36" ht="18">
      <c r="AD5066" s="93"/>
      <c r="AE5066" s="214"/>
      <c r="AF5066" s="93"/>
      <c r="AG5066" s="93"/>
      <c r="AH5066" s="93"/>
      <c r="AI5066" s="93"/>
      <c r="AJ5066" s="93"/>
    </row>
    <row r="5067" spans="30:36" ht="18">
      <c r="AD5067" s="93"/>
      <c r="AE5067" s="214"/>
      <c r="AF5067" s="93"/>
      <c r="AG5067" s="93"/>
      <c r="AH5067" s="93"/>
      <c r="AI5067" s="93"/>
      <c r="AJ5067" s="93"/>
    </row>
    <row r="5068" spans="30:36" ht="18">
      <c r="AD5068" s="93"/>
      <c r="AE5068" s="214"/>
      <c r="AF5068" s="93"/>
      <c r="AG5068" s="93"/>
      <c r="AH5068" s="93"/>
      <c r="AI5068" s="93"/>
      <c r="AJ5068" s="93"/>
    </row>
    <row r="5069" spans="30:36" ht="18">
      <c r="AD5069" s="93"/>
      <c r="AE5069" s="214"/>
      <c r="AF5069" s="93"/>
      <c r="AG5069" s="93"/>
      <c r="AH5069" s="93"/>
      <c r="AI5069" s="93"/>
      <c r="AJ5069" s="93"/>
    </row>
    <row r="5070" spans="30:36" ht="18">
      <c r="AD5070" s="93"/>
      <c r="AE5070" s="214"/>
      <c r="AF5070" s="93"/>
      <c r="AG5070" s="93"/>
      <c r="AH5070" s="93"/>
      <c r="AI5070" s="93"/>
      <c r="AJ5070" s="93"/>
    </row>
    <row r="5071" spans="30:36" ht="18">
      <c r="AD5071" s="93"/>
      <c r="AE5071" s="214"/>
      <c r="AF5071" s="93"/>
      <c r="AG5071" s="93"/>
      <c r="AH5071" s="93"/>
      <c r="AI5071" s="93"/>
      <c r="AJ5071" s="93"/>
    </row>
    <row r="5072" spans="30:36" ht="18">
      <c r="AD5072" s="93"/>
      <c r="AE5072" s="214"/>
      <c r="AF5072" s="93"/>
      <c r="AG5072" s="93"/>
      <c r="AH5072" s="93"/>
      <c r="AI5072" s="93"/>
      <c r="AJ5072" s="93"/>
    </row>
    <row r="5073" spans="30:36" ht="18">
      <c r="AD5073" s="93"/>
      <c r="AE5073" s="214"/>
      <c r="AF5073" s="93"/>
      <c r="AG5073" s="93"/>
      <c r="AH5073" s="93"/>
      <c r="AI5073" s="93"/>
      <c r="AJ5073" s="93"/>
    </row>
    <row r="5074" spans="30:36" ht="18">
      <c r="AD5074" s="93"/>
      <c r="AE5074" s="214"/>
      <c r="AF5074" s="93"/>
      <c r="AG5074" s="93"/>
      <c r="AH5074" s="93"/>
      <c r="AI5074" s="93"/>
      <c r="AJ5074" s="93"/>
    </row>
    <row r="5075" spans="30:36" ht="18">
      <c r="AD5075" s="93"/>
      <c r="AE5075" s="214"/>
      <c r="AF5075" s="93"/>
      <c r="AG5075" s="93"/>
      <c r="AH5075" s="93"/>
      <c r="AI5075" s="93"/>
      <c r="AJ5075" s="93"/>
    </row>
    <row r="5076" spans="30:36" ht="18">
      <c r="AD5076" s="93"/>
      <c r="AE5076" s="214"/>
      <c r="AF5076" s="93"/>
      <c r="AG5076" s="93"/>
      <c r="AH5076" s="93"/>
      <c r="AI5076" s="93"/>
      <c r="AJ5076" s="93"/>
    </row>
    <row r="5077" spans="30:36" ht="18">
      <c r="AD5077" s="93"/>
      <c r="AE5077" s="215"/>
      <c r="AF5077" s="93"/>
      <c r="AG5077" s="93"/>
      <c r="AH5077" s="93"/>
      <c r="AI5077" s="93"/>
      <c r="AJ5077" s="93"/>
    </row>
    <row r="5078" spans="30:36" ht="18">
      <c r="AD5078" s="93"/>
      <c r="AE5078" s="215"/>
      <c r="AF5078" s="93"/>
      <c r="AG5078" s="93"/>
      <c r="AH5078" s="93"/>
      <c r="AI5078" s="93"/>
      <c r="AJ5078" s="93"/>
    </row>
    <row r="5079" spans="30:36" ht="18">
      <c r="AD5079" s="93"/>
      <c r="AE5079" s="214"/>
      <c r="AF5079" s="93"/>
      <c r="AG5079" s="93"/>
      <c r="AH5079" s="93"/>
      <c r="AI5079" s="93"/>
      <c r="AJ5079" s="93"/>
    </row>
    <row r="5080" spans="30:36" ht="18">
      <c r="AD5080" s="93"/>
      <c r="AE5080" s="214"/>
      <c r="AF5080" s="93"/>
      <c r="AG5080" s="93"/>
      <c r="AH5080" s="93"/>
      <c r="AI5080" s="93"/>
      <c r="AJ5080" s="93"/>
    </row>
    <row r="5081" spans="30:36" ht="18">
      <c r="AD5081" s="93"/>
      <c r="AE5081" s="214"/>
      <c r="AF5081" s="93"/>
      <c r="AG5081" s="93"/>
      <c r="AH5081" s="93"/>
      <c r="AI5081" s="93"/>
      <c r="AJ5081" s="93"/>
    </row>
    <row r="5082" spans="30:36" ht="18">
      <c r="AD5082" s="93"/>
      <c r="AE5082" s="214"/>
      <c r="AF5082" s="93"/>
      <c r="AG5082" s="93"/>
      <c r="AH5082" s="93"/>
      <c r="AI5082" s="93"/>
      <c r="AJ5082" s="93"/>
    </row>
    <row r="5083" spans="30:36" ht="18">
      <c r="AD5083" s="93"/>
      <c r="AE5083" s="214"/>
      <c r="AF5083" s="93"/>
      <c r="AG5083" s="93"/>
      <c r="AH5083" s="93"/>
      <c r="AI5083" s="93"/>
      <c r="AJ5083" s="93"/>
    </row>
    <row r="5084" spans="30:36" ht="18">
      <c r="AD5084" s="93"/>
      <c r="AE5084" s="214"/>
      <c r="AF5084" s="93"/>
      <c r="AG5084" s="93"/>
      <c r="AH5084" s="93"/>
      <c r="AI5084" s="93"/>
      <c r="AJ5084" s="93"/>
    </row>
    <row r="5085" spans="30:36" ht="18">
      <c r="AD5085" s="93"/>
      <c r="AE5085" s="214"/>
      <c r="AF5085" s="93"/>
      <c r="AG5085" s="93"/>
      <c r="AH5085" s="93"/>
      <c r="AI5085" s="93"/>
      <c r="AJ5085" s="93"/>
    </row>
    <row r="5086" spans="30:36" ht="18">
      <c r="AD5086" s="93"/>
      <c r="AE5086" s="214"/>
      <c r="AF5086" s="93"/>
      <c r="AG5086" s="93"/>
      <c r="AH5086" s="93"/>
      <c r="AI5086" s="93"/>
      <c r="AJ5086" s="93"/>
    </row>
    <row r="5087" spans="30:36" ht="18">
      <c r="AD5087" s="93"/>
      <c r="AE5087" s="214"/>
      <c r="AF5087" s="93"/>
      <c r="AG5087" s="93"/>
      <c r="AH5087" s="93"/>
      <c r="AI5087" s="93"/>
      <c r="AJ5087" s="93"/>
    </row>
    <row r="5088" spans="30:36" ht="18">
      <c r="AD5088" s="93"/>
      <c r="AE5088" s="214"/>
      <c r="AF5088" s="93"/>
      <c r="AG5088" s="93"/>
      <c r="AH5088" s="93"/>
      <c r="AI5088" s="93"/>
      <c r="AJ5088" s="93"/>
    </row>
    <row r="5089" spans="30:36" ht="18">
      <c r="AD5089" s="93"/>
      <c r="AE5089" s="214"/>
      <c r="AF5089" s="93"/>
      <c r="AG5089" s="93"/>
      <c r="AH5089" s="93"/>
      <c r="AI5089" s="93"/>
      <c r="AJ5089" s="93"/>
    </row>
    <row r="5090" spans="30:36" ht="18">
      <c r="AD5090" s="93"/>
      <c r="AE5090" s="214"/>
      <c r="AF5090" s="93"/>
      <c r="AG5090" s="93"/>
      <c r="AH5090" s="93"/>
      <c r="AI5090" s="93"/>
      <c r="AJ5090" s="93"/>
    </row>
    <row r="5091" spans="30:36" ht="18">
      <c r="AD5091" s="93"/>
      <c r="AE5091" s="214"/>
      <c r="AF5091" s="93"/>
      <c r="AG5091" s="93"/>
      <c r="AH5091" s="93"/>
      <c r="AI5091" s="93"/>
      <c r="AJ5091" s="93"/>
    </row>
    <row r="5092" spans="30:36" ht="18">
      <c r="AD5092" s="93"/>
      <c r="AE5092" s="214"/>
      <c r="AF5092" s="93"/>
      <c r="AG5092" s="93"/>
      <c r="AH5092" s="93"/>
      <c r="AI5092" s="93"/>
      <c r="AJ5092" s="93"/>
    </row>
    <row r="5093" spans="30:36" ht="18">
      <c r="AD5093" s="93"/>
      <c r="AE5093" s="214"/>
      <c r="AF5093" s="93"/>
      <c r="AG5093" s="93"/>
      <c r="AH5093" s="93"/>
      <c r="AI5093" s="93"/>
      <c r="AJ5093" s="93"/>
    </row>
    <row r="5094" spans="30:36" ht="18">
      <c r="AD5094" s="93"/>
      <c r="AE5094" s="214"/>
      <c r="AF5094" s="93"/>
      <c r="AG5094" s="93"/>
      <c r="AH5094" s="93"/>
      <c r="AI5094" s="93"/>
      <c r="AJ5094" s="93"/>
    </row>
    <row r="5095" spans="30:36" ht="18">
      <c r="AD5095" s="93"/>
      <c r="AE5095" s="214"/>
      <c r="AF5095" s="93"/>
      <c r="AG5095" s="93"/>
      <c r="AH5095" s="93"/>
      <c r="AI5095" s="93"/>
      <c r="AJ5095" s="93"/>
    </row>
    <row r="5096" spans="30:36" ht="18">
      <c r="AD5096" s="93"/>
      <c r="AE5096" s="214"/>
      <c r="AF5096" s="93"/>
      <c r="AG5096" s="93"/>
      <c r="AH5096" s="93"/>
      <c r="AI5096" s="93"/>
      <c r="AJ5096" s="93"/>
    </row>
    <row r="5097" spans="30:36" ht="18">
      <c r="AD5097" s="93"/>
      <c r="AE5097" s="214"/>
      <c r="AF5097" s="93"/>
      <c r="AG5097" s="93"/>
      <c r="AH5097" s="93"/>
      <c r="AI5097" s="93"/>
      <c r="AJ5097" s="93"/>
    </row>
    <row r="5098" spans="30:36" ht="18">
      <c r="AD5098" s="93"/>
      <c r="AE5098" s="214"/>
      <c r="AF5098" s="93"/>
      <c r="AG5098" s="93"/>
      <c r="AH5098" s="93"/>
      <c r="AI5098" s="93"/>
      <c r="AJ5098" s="93"/>
    </row>
    <row r="5099" spans="30:36" ht="18">
      <c r="AD5099" s="93"/>
      <c r="AE5099" s="214"/>
      <c r="AF5099" s="93"/>
      <c r="AG5099" s="93"/>
      <c r="AH5099" s="93"/>
      <c r="AI5099" s="93"/>
      <c r="AJ5099" s="93"/>
    </row>
    <row r="5100" spans="30:36" ht="18">
      <c r="AD5100" s="93"/>
      <c r="AE5100" s="214"/>
      <c r="AF5100" s="93"/>
      <c r="AG5100" s="93"/>
      <c r="AH5100" s="93"/>
      <c r="AI5100" s="93"/>
      <c r="AJ5100" s="93"/>
    </row>
    <row r="5101" spans="30:36" ht="18">
      <c r="AD5101" s="93"/>
      <c r="AE5101" s="214"/>
      <c r="AF5101" s="93"/>
      <c r="AG5101" s="93"/>
      <c r="AH5101" s="93"/>
      <c r="AI5101" s="93"/>
      <c r="AJ5101" s="93"/>
    </row>
    <row r="5102" spans="30:36" ht="18">
      <c r="AD5102" s="93"/>
      <c r="AE5102" s="214"/>
      <c r="AF5102" s="93"/>
      <c r="AG5102" s="93"/>
      <c r="AH5102" s="93"/>
      <c r="AI5102" s="93"/>
      <c r="AJ5102" s="93"/>
    </row>
    <row r="5103" spans="30:36" ht="18">
      <c r="AD5103" s="93"/>
      <c r="AE5103" s="214"/>
      <c r="AF5103" s="93"/>
      <c r="AG5103" s="93"/>
      <c r="AH5103" s="93"/>
      <c r="AI5103" s="93"/>
      <c r="AJ5103" s="93"/>
    </row>
    <row r="5104" spans="30:36" ht="18">
      <c r="AD5104" s="93"/>
      <c r="AE5104" s="214"/>
      <c r="AF5104" s="93"/>
      <c r="AG5104" s="93"/>
      <c r="AH5104" s="93"/>
      <c r="AI5104" s="93"/>
      <c r="AJ5104" s="93"/>
    </row>
    <row r="5105" spans="30:36" ht="18">
      <c r="AD5105" s="93"/>
      <c r="AE5105" s="214"/>
      <c r="AF5105" s="93"/>
      <c r="AG5105" s="93"/>
      <c r="AH5105" s="93"/>
      <c r="AI5105" s="93"/>
      <c r="AJ5105" s="93"/>
    </row>
    <row r="5106" spans="30:36" ht="18">
      <c r="AD5106" s="93"/>
      <c r="AE5106" s="214"/>
      <c r="AF5106" s="93"/>
      <c r="AG5106" s="93"/>
      <c r="AH5106" s="93"/>
      <c r="AI5106" s="93"/>
      <c r="AJ5106" s="93"/>
    </row>
    <row r="5107" spans="30:36" ht="18">
      <c r="AD5107" s="93"/>
      <c r="AE5107" s="214"/>
      <c r="AF5107" s="93"/>
      <c r="AG5107" s="93"/>
      <c r="AH5107" s="93"/>
      <c r="AI5107" s="93"/>
      <c r="AJ5107" s="93"/>
    </row>
    <row r="5108" spans="30:36" ht="18">
      <c r="AD5108" s="93"/>
      <c r="AE5108" s="215"/>
      <c r="AF5108" s="93"/>
      <c r="AG5108" s="93"/>
      <c r="AH5108" s="93"/>
      <c r="AI5108" s="93"/>
      <c r="AJ5108" s="93"/>
    </row>
    <row r="5109" spans="30:36" ht="18">
      <c r="AD5109" s="93"/>
      <c r="AE5109" s="214"/>
      <c r="AF5109" s="93"/>
      <c r="AG5109" s="93"/>
      <c r="AH5109" s="93"/>
      <c r="AI5109" s="93"/>
      <c r="AJ5109" s="93"/>
    </row>
    <row r="5110" spans="30:36" ht="18">
      <c r="AD5110" s="93"/>
      <c r="AE5110" s="214"/>
      <c r="AF5110" s="93"/>
      <c r="AG5110" s="93"/>
      <c r="AH5110" s="93"/>
      <c r="AI5110" s="93"/>
      <c r="AJ5110" s="93"/>
    </row>
    <row r="5111" spans="30:36" ht="18">
      <c r="AD5111" s="93"/>
      <c r="AE5111" s="214"/>
      <c r="AF5111" s="93"/>
      <c r="AG5111" s="93"/>
      <c r="AH5111" s="93"/>
      <c r="AI5111" s="93"/>
      <c r="AJ5111" s="93"/>
    </row>
    <row r="5112" spans="30:36" ht="18">
      <c r="AD5112" s="93"/>
      <c r="AE5112" s="214"/>
      <c r="AF5112" s="93"/>
      <c r="AG5112" s="93"/>
      <c r="AH5112" s="93"/>
      <c r="AI5112" s="93"/>
      <c r="AJ5112" s="93"/>
    </row>
    <row r="5113" spans="30:36" ht="18">
      <c r="AD5113" s="93"/>
      <c r="AE5113" s="214"/>
      <c r="AF5113" s="93"/>
      <c r="AG5113" s="93"/>
      <c r="AH5113" s="93"/>
      <c r="AI5113" s="93"/>
      <c r="AJ5113" s="93"/>
    </row>
    <row r="5114" spans="30:36" ht="18">
      <c r="AD5114" s="93"/>
      <c r="AE5114" s="215"/>
      <c r="AF5114" s="93"/>
      <c r="AG5114" s="93"/>
      <c r="AH5114" s="93"/>
      <c r="AI5114" s="93"/>
      <c r="AJ5114" s="93"/>
    </row>
    <row r="5115" spans="30:36" ht="18">
      <c r="AD5115" s="93"/>
      <c r="AE5115" s="215"/>
      <c r="AF5115" s="93"/>
      <c r="AG5115" s="93"/>
      <c r="AH5115" s="93"/>
      <c r="AI5115" s="93"/>
      <c r="AJ5115" s="93"/>
    </row>
    <row r="5116" spans="30:36" ht="18">
      <c r="AD5116" s="93"/>
      <c r="AE5116" s="214"/>
      <c r="AF5116" s="93"/>
      <c r="AG5116" s="93"/>
      <c r="AH5116" s="93"/>
      <c r="AI5116" s="93"/>
      <c r="AJ5116" s="93"/>
    </row>
    <row r="5117" spans="30:36" ht="18">
      <c r="AD5117" s="93"/>
      <c r="AE5117" s="214"/>
      <c r="AF5117" s="93"/>
      <c r="AG5117" s="93"/>
      <c r="AH5117" s="93"/>
      <c r="AI5117" s="93"/>
      <c r="AJ5117" s="93"/>
    </row>
    <row r="5118" spans="30:36" ht="18">
      <c r="AD5118" s="93"/>
      <c r="AE5118" s="214"/>
      <c r="AF5118" s="93"/>
      <c r="AG5118" s="93"/>
      <c r="AH5118" s="93"/>
      <c r="AI5118" s="93"/>
      <c r="AJ5118" s="93"/>
    </row>
    <row r="5119" spans="30:36" ht="18">
      <c r="AD5119" s="93"/>
      <c r="AE5119" s="214"/>
      <c r="AF5119" s="93"/>
      <c r="AG5119" s="93"/>
      <c r="AH5119" s="93"/>
      <c r="AI5119" s="93"/>
      <c r="AJ5119" s="93"/>
    </row>
    <row r="5120" spans="30:36" ht="18">
      <c r="AD5120" s="93"/>
      <c r="AE5120" s="214"/>
      <c r="AF5120" s="93"/>
      <c r="AG5120" s="93"/>
      <c r="AH5120" s="93"/>
      <c r="AI5120" s="93"/>
      <c r="AJ5120" s="93"/>
    </row>
    <row r="5121" spans="30:36" ht="18">
      <c r="AD5121" s="93"/>
      <c r="AE5121" s="214"/>
      <c r="AF5121" s="93"/>
      <c r="AG5121" s="93"/>
      <c r="AH5121" s="93"/>
      <c r="AI5121" s="93"/>
      <c r="AJ5121" s="93"/>
    </row>
    <row r="5122" spans="30:36" ht="18">
      <c r="AD5122" s="93"/>
      <c r="AE5122" s="214"/>
      <c r="AF5122" s="93"/>
      <c r="AG5122" s="93"/>
      <c r="AH5122" s="93"/>
      <c r="AI5122" s="93"/>
      <c r="AJ5122" s="93"/>
    </row>
    <row r="5123" spans="30:36" ht="18">
      <c r="AD5123" s="93"/>
      <c r="AE5123" s="214"/>
      <c r="AF5123" s="93"/>
      <c r="AG5123" s="93"/>
      <c r="AH5123" s="93"/>
      <c r="AI5123" s="93"/>
      <c r="AJ5123" s="93"/>
    </row>
    <row r="5124" spans="30:36" ht="18">
      <c r="AD5124" s="93"/>
      <c r="AE5124" s="214"/>
      <c r="AF5124" s="93"/>
      <c r="AG5124" s="93"/>
      <c r="AH5124" s="93"/>
      <c r="AI5124" s="93"/>
      <c r="AJ5124" s="93"/>
    </row>
    <row r="5125" spans="30:36" ht="18">
      <c r="AD5125" s="93"/>
      <c r="AE5125" s="215"/>
      <c r="AF5125" s="93"/>
      <c r="AG5125" s="93"/>
      <c r="AH5125" s="93"/>
      <c r="AI5125" s="93"/>
      <c r="AJ5125" s="93"/>
    </row>
    <row r="5126" spans="30:36" ht="18">
      <c r="AD5126" s="93"/>
      <c r="AE5126" s="215"/>
      <c r="AF5126" s="93"/>
      <c r="AG5126" s="93"/>
      <c r="AH5126" s="93"/>
      <c r="AI5126" s="93"/>
      <c r="AJ5126" s="93"/>
    </row>
    <row r="5127" spans="30:36" ht="18">
      <c r="AD5127" s="93"/>
      <c r="AE5127" s="214"/>
      <c r="AF5127" s="93"/>
      <c r="AG5127" s="93"/>
      <c r="AH5127" s="93"/>
      <c r="AI5127" s="93"/>
      <c r="AJ5127" s="93"/>
    </row>
    <row r="5128" spans="30:36" ht="18">
      <c r="AD5128" s="93"/>
      <c r="AE5128" s="214"/>
      <c r="AF5128" s="93"/>
      <c r="AG5128" s="93"/>
      <c r="AH5128" s="93"/>
      <c r="AI5128" s="93"/>
      <c r="AJ5128" s="93"/>
    </row>
    <row r="5129" spans="30:36" ht="18">
      <c r="AD5129" s="93"/>
      <c r="AE5129" s="214"/>
      <c r="AF5129" s="93"/>
      <c r="AG5129" s="93"/>
      <c r="AH5129" s="93"/>
      <c r="AI5129" s="93"/>
      <c r="AJ5129" s="93"/>
    </row>
    <row r="5130" spans="30:36" ht="18">
      <c r="AD5130" s="93"/>
      <c r="AE5130" s="214"/>
      <c r="AF5130" s="93"/>
      <c r="AG5130" s="93"/>
      <c r="AH5130" s="93"/>
      <c r="AI5130" s="93"/>
      <c r="AJ5130" s="93"/>
    </row>
    <row r="5131" spans="30:36" ht="18">
      <c r="AD5131" s="93"/>
      <c r="AE5131" s="214"/>
      <c r="AF5131" s="93"/>
      <c r="AG5131" s="93"/>
      <c r="AH5131" s="93"/>
      <c r="AI5131" s="93"/>
      <c r="AJ5131" s="93"/>
    </row>
    <row r="5132" spans="30:36" ht="18">
      <c r="AD5132" s="93"/>
      <c r="AE5132" s="214"/>
      <c r="AF5132" s="93"/>
      <c r="AG5132" s="93"/>
      <c r="AH5132" s="93"/>
      <c r="AI5132" s="93"/>
      <c r="AJ5132" s="93"/>
    </row>
    <row r="5133" spans="30:36" ht="18">
      <c r="AD5133" s="93"/>
      <c r="AE5133" s="214"/>
      <c r="AF5133" s="93"/>
      <c r="AG5133" s="93"/>
      <c r="AH5133" s="93"/>
      <c r="AI5133" s="93"/>
      <c r="AJ5133" s="93"/>
    </row>
    <row r="5134" spans="30:36" ht="18">
      <c r="AD5134" s="93"/>
      <c r="AE5134" s="214"/>
      <c r="AF5134" s="93"/>
      <c r="AG5134" s="93"/>
      <c r="AH5134" s="93"/>
      <c r="AI5134" s="93"/>
      <c r="AJ5134" s="93"/>
    </row>
    <row r="5135" spans="30:36" ht="18">
      <c r="AD5135" s="93"/>
      <c r="AE5135" s="214"/>
      <c r="AF5135" s="93"/>
      <c r="AG5135" s="93"/>
      <c r="AH5135" s="93"/>
      <c r="AI5135" s="93"/>
      <c r="AJ5135" s="93"/>
    </row>
    <row r="5136" spans="30:36" ht="18">
      <c r="AD5136" s="93"/>
      <c r="AE5136" s="214"/>
      <c r="AF5136" s="93"/>
      <c r="AG5136" s="93"/>
      <c r="AH5136" s="93"/>
      <c r="AI5136" s="93"/>
      <c r="AJ5136" s="93"/>
    </row>
    <row r="5137" spans="30:36" ht="18">
      <c r="AD5137" s="93"/>
      <c r="AE5137" s="214"/>
      <c r="AF5137" s="93"/>
      <c r="AG5137" s="93"/>
      <c r="AH5137" s="93"/>
      <c r="AI5137" s="93"/>
      <c r="AJ5137" s="93"/>
    </row>
    <row r="5138" spans="30:36" ht="18">
      <c r="AD5138" s="93"/>
      <c r="AE5138" s="214"/>
      <c r="AF5138" s="93"/>
      <c r="AG5138" s="93"/>
      <c r="AH5138" s="93"/>
      <c r="AI5138" s="93"/>
      <c r="AJ5138" s="93"/>
    </row>
    <row r="5139" spans="30:36" ht="18">
      <c r="AD5139" s="93"/>
      <c r="AE5139" s="214"/>
      <c r="AF5139" s="93"/>
      <c r="AG5139" s="93"/>
      <c r="AH5139" s="93"/>
      <c r="AI5139" s="93"/>
      <c r="AJ5139" s="93"/>
    </row>
    <row r="5140" spans="30:36" ht="18">
      <c r="AD5140" s="93"/>
      <c r="AE5140" s="214"/>
      <c r="AF5140" s="93"/>
      <c r="AG5140" s="93"/>
      <c r="AH5140" s="93"/>
      <c r="AI5140" s="93"/>
      <c r="AJ5140" s="93"/>
    </row>
    <row r="5141" spans="30:36" ht="18">
      <c r="AD5141" s="93"/>
      <c r="AE5141" s="214"/>
      <c r="AF5141" s="93"/>
      <c r="AG5141" s="93"/>
      <c r="AH5141" s="93"/>
      <c r="AI5141" s="93"/>
      <c r="AJ5141" s="93"/>
    </row>
    <row r="5142" spans="30:36" ht="18">
      <c r="AD5142" s="93"/>
      <c r="AE5142" s="214"/>
      <c r="AF5142" s="93"/>
      <c r="AG5142" s="93"/>
      <c r="AH5142" s="93"/>
      <c r="AI5142" s="93"/>
      <c r="AJ5142" s="93"/>
    </row>
    <row r="5143" spans="30:36" ht="18">
      <c r="AD5143" s="93"/>
      <c r="AE5143" s="214"/>
      <c r="AF5143" s="93"/>
      <c r="AG5143" s="93"/>
      <c r="AH5143" s="93"/>
      <c r="AI5143" s="93"/>
      <c r="AJ5143" s="93"/>
    </row>
    <row r="5144" spans="30:36" ht="18">
      <c r="AD5144" s="93"/>
      <c r="AE5144" s="214"/>
      <c r="AF5144" s="93"/>
      <c r="AG5144" s="93"/>
      <c r="AH5144" s="93"/>
      <c r="AI5144" s="93"/>
      <c r="AJ5144" s="93"/>
    </row>
    <row r="5145" spans="30:36" ht="18">
      <c r="AD5145" s="93"/>
      <c r="AE5145" s="214"/>
      <c r="AF5145" s="93"/>
      <c r="AG5145" s="93"/>
      <c r="AH5145" s="93"/>
      <c r="AI5145" s="93"/>
      <c r="AJ5145" s="93"/>
    </row>
    <row r="5146" spans="30:36" ht="18">
      <c r="AD5146" s="93"/>
      <c r="AE5146" s="214"/>
      <c r="AF5146" s="93"/>
      <c r="AG5146" s="93"/>
      <c r="AH5146" s="93"/>
      <c r="AI5146" s="93"/>
      <c r="AJ5146" s="93"/>
    </row>
    <row r="5147" spans="30:36" ht="18">
      <c r="AD5147" s="93"/>
      <c r="AE5147" s="214"/>
      <c r="AF5147" s="93"/>
      <c r="AG5147" s="93"/>
      <c r="AH5147" s="93"/>
      <c r="AI5147" s="93"/>
      <c r="AJ5147" s="93"/>
    </row>
    <row r="5148" spans="30:36" ht="18">
      <c r="AD5148" s="93"/>
      <c r="AE5148" s="214"/>
      <c r="AF5148" s="93"/>
      <c r="AG5148" s="93"/>
      <c r="AH5148" s="93"/>
      <c r="AI5148" s="93"/>
      <c r="AJ5148" s="93"/>
    </row>
    <row r="5149" spans="30:36" ht="18">
      <c r="AD5149" s="93"/>
      <c r="AE5149" s="214"/>
      <c r="AF5149" s="93"/>
      <c r="AG5149" s="93"/>
      <c r="AH5149" s="93"/>
      <c r="AI5149" s="93"/>
      <c r="AJ5149" s="93"/>
    </row>
    <row r="5150" spans="30:36" ht="18">
      <c r="AD5150" s="93"/>
      <c r="AE5150" s="214"/>
      <c r="AF5150" s="93"/>
      <c r="AG5150" s="93"/>
      <c r="AH5150" s="93"/>
      <c r="AI5150" s="93"/>
      <c r="AJ5150" s="93"/>
    </row>
    <row r="5151" spans="30:36" ht="18">
      <c r="AD5151" s="93"/>
      <c r="AE5151" s="214"/>
      <c r="AF5151" s="93"/>
      <c r="AG5151" s="93"/>
      <c r="AH5151" s="93"/>
      <c r="AI5151" s="93"/>
      <c r="AJ5151" s="93"/>
    </row>
    <row r="5152" spans="30:36" ht="18">
      <c r="AD5152" s="93"/>
      <c r="AE5152" s="214"/>
      <c r="AF5152" s="93"/>
      <c r="AG5152" s="93"/>
      <c r="AH5152" s="93"/>
      <c r="AI5152" s="93"/>
      <c r="AJ5152" s="93"/>
    </row>
    <row r="5153" spans="30:36" ht="18">
      <c r="AD5153" s="93"/>
      <c r="AE5153" s="214"/>
      <c r="AF5153" s="93"/>
      <c r="AG5153" s="93"/>
      <c r="AH5153" s="93"/>
      <c r="AI5153" s="93"/>
      <c r="AJ5153" s="93"/>
    </row>
    <row r="5154" spans="30:36" ht="18">
      <c r="AD5154" s="93"/>
      <c r="AE5154" s="214"/>
      <c r="AF5154" s="93"/>
      <c r="AG5154" s="93"/>
      <c r="AH5154" s="93"/>
      <c r="AI5154" s="93"/>
      <c r="AJ5154" s="93"/>
    </row>
    <row r="5155" spans="30:36" ht="18">
      <c r="AD5155" s="93"/>
      <c r="AE5155" s="214"/>
      <c r="AF5155" s="93"/>
      <c r="AG5155" s="93"/>
      <c r="AH5155" s="93"/>
      <c r="AI5155" s="93"/>
      <c r="AJ5155" s="93"/>
    </row>
    <row r="5156" spans="30:36" ht="18">
      <c r="AD5156" s="93"/>
      <c r="AE5156" s="214"/>
      <c r="AF5156" s="93"/>
      <c r="AG5156" s="93"/>
      <c r="AH5156" s="93"/>
      <c r="AI5156" s="93"/>
      <c r="AJ5156" s="93"/>
    </row>
    <row r="5157" spans="30:36" ht="18">
      <c r="AD5157" s="93"/>
      <c r="AE5157" s="214"/>
      <c r="AF5157" s="93"/>
      <c r="AG5157" s="93"/>
      <c r="AH5157" s="93"/>
      <c r="AI5157" s="93"/>
      <c r="AJ5157" s="93"/>
    </row>
    <row r="5158" spans="30:36" ht="18">
      <c r="AD5158" s="93"/>
      <c r="AE5158" s="214"/>
      <c r="AF5158" s="93"/>
      <c r="AG5158" s="93"/>
      <c r="AH5158" s="93"/>
      <c r="AI5158" s="93"/>
      <c r="AJ5158" s="93"/>
    </row>
    <row r="5159" spans="30:36" ht="18">
      <c r="AD5159" s="93"/>
      <c r="AE5159" s="214"/>
      <c r="AF5159" s="93"/>
      <c r="AG5159" s="93"/>
      <c r="AH5159" s="93"/>
      <c r="AI5159" s="93"/>
      <c r="AJ5159" s="93"/>
    </row>
    <row r="5160" spans="30:36" ht="18">
      <c r="AD5160" s="93"/>
      <c r="AE5160" s="214"/>
      <c r="AF5160" s="93"/>
      <c r="AG5160" s="93"/>
      <c r="AH5160" s="93"/>
      <c r="AI5160" s="93"/>
      <c r="AJ5160" s="93"/>
    </row>
    <row r="5161" spans="30:36" ht="18">
      <c r="AD5161" s="93"/>
      <c r="AE5161" s="214"/>
      <c r="AF5161" s="93"/>
      <c r="AG5161" s="93"/>
      <c r="AH5161" s="93"/>
      <c r="AI5161" s="93"/>
      <c r="AJ5161" s="93"/>
    </row>
    <row r="5162" spans="30:36" ht="18">
      <c r="AD5162" s="93"/>
      <c r="AE5162" s="214"/>
      <c r="AF5162" s="93"/>
      <c r="AG5162" s="93"/>
      <c r="AH5162" s="93"/>
      <c r="AI5162" s="93"/>
      <c r="AJ5162" s="93"/>
    </row>
    <row r="5163" spans="30:36" ht="18">
      <c r="AD5163" s="93"/>
      <c r="AE5163" s="214"/>
      <c r="AF5163" s="93"/>
      <c r="AG5163" s="93"/>
      <c r="AH5163" s="93"/>
      <c r="AI5163" s="93"/>
      <c r="AJ5163" s="93"/>
    </row>
    <row r="5164" spans="30:36" ht="18">
      <c r="AD5164" s="93"/>
      <c r="AE5164" s="214"/>
      <c r="AF5164" s="93"/>
      <c r="AG5164" s="93"/>
      <c r="AH5164" s="93"/>
      <c r="AI5164" s="93"/>
      <c r="AJ5164" s="93"/>
    </row>
    <row r="5165" spans="30:36" ht="18">
      <c r="AD5165" s="93"/>
      <c r="AE5165" s="214"/>
      <c r="AF5165" s="93"/>
      <c r="AG5165" s="93"/>
      <c r="AH5165" s="93"/>
      <c r="AI5165" s="93"/>
      <c r="AJ5165" s="93"/>
    </row>
    <row r="5166" spans="30:36" ht="18">
      <c r="AD5166" s="93"/>
      <c r="AE5166" s="214"/>
      <c r="AF5166" s="94"/>
      <c r="AG5166" s="93"/>
      <c r="AH5166" s="93"/>
      <c r="AI5166" s="93"/>
      <c r="AJ5166" s="93"/>
    </row>
    <row r="5167" spans="30:36" ht="18">
      <c r="AD5167" s="93"/>
      <c r="AE5167" s="214"/>
      <c r="AF5167" s="94"/>
      <c r="AG5167" s="93"/>
      <c r="AH5167" s="93"/>
      <c r="AI5167" s="93"/>
      <c r="AJ5167" s="93"/>
    </row>
    <row r="5168" spans="30:36" ht="18">
      <c r="AD5168" s="93"/>
      <c r="AE5168" s="214"/>
      <c r="AF5168" s="94"/>
      <c r="AG5168" s="93"/>
      <c r="AH5168" s="93"/>
      <c r="AI5168" s="93"/>
      <c r="AJ5168" s="93"/>
    </row>
    <row r="5169" spans="30:36" ht="18">
      <c r="AD5169" s="93"/>
      <c r="AE5169" s="214"/>
      <c r="AF5169" s="94"/>
      <c r="AG5169" s="93"/>
      <c r="AH5169" s="93"/>
      <c r="AI5169" s="93"/>
      <c r="AJ5169" s="93"/>
    </row>
    <row r="5170" spans="30:36" ht="18">
      <c r="AD5170" s="93"/>
      <c r="AE5170" s="214"/>
      <c r="AF5170" s="94"/>
      <c r="AG5170" s="93"/>
      <c r="AH5170" s="93"/>
      <c r="AI5170" s="93"/>
      <c r="AJ5170" s="93"/>
    </row>
    <row r="5171" spans="30:36" ht="18">
      <c r="AD5171" s="93"/>
      <c r="AE5171" s="214"/>
      <c r="AF5171" s="94"/>
      <c r="AG5171" s="93"/>
      <c r="AH5171" s="93"/>
      <c r="AI5171" s="93"/>
      <c r="AJ5171" s="93"/>
    </row>
    <row r="5172" spans="30:36" ht="18">
      <c r="AD5172" s="93"/>
      <c r="AE5172" s="214"/>
      <c r="AF5172" s="94"/>
      <c r="AG5172" s="93"/>
      <c r="AH5172" s="93"/>
      <c r="AI5172" s="93"/>
      <c r="AJ5172" s="93"/>
    </row>
    <row r="5173" spans="30:36" ht="18">
      <c r="AD5173" s="93"/>
      <c r="AE5173" s="214"/>
      <c r="AF5173" s="94"/>
      <c r="AG5173" s="93"/>
      <c r="AH5173" s="93"/>
      <c r="AI5173" s="93"/>
      <c r="AJ5173" s="93"/>
    </row>
    <row r="5174" spans="30:36" ht="18">
      <c r="AD5174" s="93"/>
      <c r="AE5174" s="214"/>
      <c r="AF5174" s="94"/>
      <c r="AG5174" s="93"/>
      <c r="AH5174" s="93"/>
      <c r="AI5174" s="93"/>
      <c r="AJ5174" s="93"/>
    </row>
    <row r="5175" spans="30:36" ht="18">
      <c r="AD5175" s="93"/>
      <c r="AE5175" s="214"/>
      <c r="AF5175" s="94"/>
      <c r="AG5175" s="93"/>
      <c r="AH5175" s="93"/>
      <c r="AI5175" s="93"/>
      <c r="AJ5175" s="93"/>
    </row>
    <row r="5176" spans="30:36" ht="18">
      <c r="AD5176" s="93"/>
      <c r="AE5176" s="214"/>
      <c r="AF5176" s="94"/>
      <c r="AG5176" s="93"/>
      <c r="AH5176" s="93"/>
      <c r="AI5176" s="93"/>
      <c r="AJ5176" s="93"/>
    </row>
    <row r="5177" spans="30:36" ht="18">
      <c r="AD5177" s="93"/>
      <c r="AE5177" s="214"/>
      <c r="AF5177" s="94"/>
      <c r="AG5177" s="93"/>
      <c r="AH5177" s="93"/>
      <c r="AI5177" s="93"/>
      <c r="AJ5177" s="93"/>
    </row>
    <row r="5178" spans="30:36" ht="18">
      <c r="AD5178" s="93"/>
      <c r="AE5178" s="215"/>
      <c r="AF5178" s="93"/>
      <c r="AG5178" s="93"/>
      <c r="AH5178" s="93"/>
      <c r="AI5178" s="93"/>
      <c r="AJ5178" s="93"/>
    </row>
    <row r="5179" spans="30:36" ht="18">
      <c r="AD5179" s="93"/>
      <c r="AE5179" s="214"/>
      <c r="AF5179" s="93"/>
      <c r="AG5179" s="93"/>
      <c r="AH5179" s="93"/>
      <c r="AI5179" s="93"/>
      <c r="AJ5179" s="93"/>
    </row>
    <row r="5180" spans="30:36" ht="18">
      <c r="AD5180" s="93"/>
      <c r="AE5180" s="214"/>
      <c r="AF5180" s="93"/>
      <c r="AG5180" s="93"/>
      <c r="AH5180" s="93"/>
      <c r="AI5180" s="93"/>
      <c r="AJ5180" s="93"/>
    </row>
    <row r="5181" spans="30:36" ht="18">
      <c r="AD5181" s="93"/>
      <c r="AE5181" s="214"/>
      <c r="AF5181" s="93"/>
      <c r="AG5181" s="93"/>
      <c r="AH5181" s="93"/>
      <c r="AI5181" s="93"/>
      <c r="AJ5181" s="93"/>
    </row>
    <row r="5182" spans="30:36" ht="18">
      <c r="AD5182" s="93"/>
      <c r="AE5182" s="214"/>
      <c r="AF5182" s="93"/>
      <c r="AG5182" s="93"/>
      <c r="AH5182" s="93"/>
      <c r="AI5182" s="93"/>
      <c r="AJ5182" s="93"/>
    </row>
    <row r="5183" spans="30:36" ht="18">
      <c r="AD5183" s="93"/>
      <c r="AE5183" s="214"/>
      <c r="AF5183" s="93"/>
      <c r="AG5183" s="93"/>
      <c r="AH5183" s="93"/>
      <c r="AI5183" s="93"/>
      <c r="AJ5183" s="93"/>
    </row>
    <row r="5184" spans="30:36" ht="18">
      <c r="AD5184" s="93"/>
      <c r="AE5184" s="214"/>
      <c r="AF5184" s="93"/>
      <c r="AG5184" s="93"/>
      <c r="AH5184" s="93"/>
      <c r="AI5184" s="93"/>
      <c r="AJ5184" s="93"/>
    </row>
    <row r="5185" spans="30:36" ht="18">
      <c r="AD5185" s="93"/>
      <c r="AE5185" s="214"/>
      <c r="AF5185" s="93"/>
      <c r="AG5185" s="93"/>
      <c r="AH5185" s="93"/>
      <c r="AI5185" s="93"/>
      <c r="AJ5185" s="93"/>
    </row>
    <row r="5186" spans="30:36" ht="18">
      <c r="AD5186" s="93"/>
      <c r="AE5186" s="214"/>
      <c r="AF5186" s="93"/>
      <c r="AG5186" s="93"/>
      <c r="AH5186" s="93"/>
      <c r="AI5186" s="93"/>
      <c r="AJ5186" s="93"/>
    </row>
    <row r="5187" spans="30:36" ht="18">
      <c r="AD5187" s="93"/>
      <c r="AE5187" s="214"/>
      <c r="AF5187" s="93"/>
      <c r="AG5187" s="93"/>
      <c r="AH5187" s="93"/>
      <c r="AI5187" s="93"/>
      <c r="AJ5187" s="93"/>
    </row>
    <row r="5188" spans="30:36" ht="18">
      <c r="AD5188" s="93"/>
      <c r="AE5188" s="214"/>
      <c r="AF5188" s="93"/>
      <c r="AG5188" s="93"/>
      <c r="AH5188" s="93"/>
      <c r="AI5188" s="93"/>
      <c r="AJ5188" s="93"/>
    </row>
    <row r="5189" spans="30:36" ht="18">
      <c r="AD5189" s="93"/>
      <c r="AE5189" s="214"/>
      <c r="AF5189" s="93"/>
      <c r="AG5189" s="93"/>
      <c r="AH5189" s="93"/>
      <c r="AI5189" s="93"/>
      <c r="AJ5189" s="93"/>
    </row>
    <row r="5190" spans="30:36" ht="18">
      <c r="AD5190" s="93"/>
      <c r="AE5190" s="214"/>
      <c r="AF5190" s="93"/>
      <c r="AG5190" s="93"/>
      <c r="AH5190" s="93"/>
      <c r="AI5190" s="93"/>
      <c r="AJ5190" s="93"/>
    </row>
    <row r="5191" spans="30:36" ht="18">
      <c r="AD5191" s="93"/>
      <c r="AE5191" s="214"/>
      <c r="AF5191" s="93"/>
      <c r="AG5191" s="93"/>
      <c r="AH5191" s="93"/>
      <c r="AI5191" s="93"/>
      <c r="AJ5191" s="93"/>
    </row>
    <row r="5192" spans="30:36" ht="18">
      <c r="AD5192" s="93"/>
      <c r="AE5192" s="214"/>
      <c r="AF5192" s="93"/>
      <c r="AG5192" s="93"/>
      <c r="AH5192" s="93"/>
      <c r="AI5192" s="93"/>
      <c r="AJ5192" s="93"/>
    </row>
    <row r="5193" spans="30:36" ht="18">
      <c r="AD5193" s="93"/>
      <c r="AE5193" s="214"/>
      <c r="AF5193" s="93"/>
      <c r="AG5193" s="93"/>
      <c r="AH5193" s="93"/>
      <c r="AI5193" s="93"/>
      <c r="AJ5193" s="93"/>
    </row>
    <row r="5194" spans="30:36" ht="18">
      <c r="AD5194" s="93"/>
      <c r="AE5194" s="214"/>
      <c r="AF5194" s="93"/>
      <c r="AG5194" s="93"/>
      <c r="AH5194" s="93"/>
      <c r="AI5194" s="93"/>
      <c r="AJ5194" s="93"/>
    </row>
    <row r="5195" spans="30:36" ht="18">
      <c r="AD5195" s="93"/>
      <c r="AE5195" s="214"/>
      <c r="AF5195" s="93"/>
      <c r="AG5195" s="93"/>
      <c r="AH5195" s="93"/>
      <c r="AI5195" s="93"/>
      <c r="AJ5195" s="93"/>
    </row>
    <row r="5196" spans="30:36" ht="18">
      <c r="AD5196" s="93"/>
      <c r="AE5196" s="214"/>
      <c r="AF5196" s="93"/>
      <c r="AG5196" s="93"/>
      <c r="AH5196" s="93"/>
      <c r="AI5196" s="93"/>
      <c r="AJ5196" s="93"/>
    </row>
    <row r="5197" spans="30:36" ht="18">
      <c r="AD5197" s="93"/>
      <c r="AE5197" s="215"/>
      <c r="AF5197" s="93"/>
      <c r="AG5197" s="93"/>
      <c r="AH5197" s="93"/>
      <c r="AI5197" s="93"/>
      <c r="AJ5197" s="93"/>
    </row>
    <row r="5198" spans="30:36" ht="18">
      <c r="AD5198" s="93"/>
      <c r="AE5198" s="215"/>
      <c r="AF5198" s="93"/>
      <c r="AG5198" s="93"/>
      <c r="AH5198" s="93"/>
      <c r="AI5198" s="93"/>
      <c r="AJ5198" s="93"/>
    </row>
    <row r="5199" spans="30:36" ht="18">
      <c r="AD5199" s="93"/>
      <c r="AE5199" s="214"/>
      <c r="AF5199" s="93"/>
      <c r="AG5199" s="93"/>
      <c r="AH5199" s="93"/>
      <c r="AI5199" s="93"/>
      <c r="AJ5199" s="93"/>
    </row>
    <row r="5200" spans="30:36" ht="18">
      <c r="AD5200" s="93"/>
      <c r="AE5200" s="214"/>
      <c r="AF5200" s="93"/>
      <c r="AG5200" s="93"/>
      <c r="AH5200" s="93"/>
      <c r="AI5200" s="93"/>
      <c r="AJ5200" s="93"/>
    </row>
    <row r="5201" spans="30:36" ht="18">
      <c r="AD5201" s="93"/>
      <c r="AE5201" s="214"/>
      <c r="AF5201" s="93"/>
      <c r="AG5201" s="93"/>
      <c r="AH5201" s="93"/>
      <c r="AI5201" s="93"/>
      <c r="AJ5201" s="93"/>
    </row>
    <row r="5202" spans="30:36" ht="18">
      <c r="AD5202" s="93"/>
      <c r="AE5202" s="215"/>
      <c r="AF5202" s="93"/>
      <c r="AG5202" s="93"/>
      <c r="AH5202" s="93"/>
      <c r="AI5202" s="93"/>
      <c r="AJ5202" s="93"/>
    </row>
    <row r="5203" spans="30:36" ht="18">
      <c r="AD5203" s="93"/>
      <c r="AE5203" s="215"/>
      <c r="AF5203" s="93"/>
      <c r="AG5203" s="93"/>
      <c r="AH5203" s="93"/>
      <c r="AI5203" s="93"/>
      <c r="AJ5203" s="93"/>
    </row>
    <row r="5204" spans="30:36" ht="18">
      <c r="AD5204" s="93"/>
      <c r="AE5204" s="214"/>
      <c r="AF5204" s="93"/>
      <c r="AG5204" s="93"/>
      <c r="AH5204" s="93"/>
      <c r="AI5204" s="93"/>
      <c r="AJ5204" s="93"/>
    </row>
    <row r="5205" spans="30:36" ht="18">
      <c r="AD5205" s="93"/>
      <c r="AE5205" s="214"/>
      <c r="AF5205" s="93"/>
      <c r="AG5205" s="93"/>
      <c r="AH5205" s="93"/>
      <c r="AI5205" s="93"/>
      <c r="AJ5205" s="93"/>
    </row>
    <row r="5206" spans="30:36" ht="18">
      <c r="AD5206" s="93"/>
      <c r="AE5206" s="214"/>
      <c r="AF5206" s="93"/>
      <c r="AG5206" s="93"/>
      <c r="AH5206" s="93"/>
      <c r="AI5206" s="93"/>
      <c r="AJ5206" s="93"/>
    </row>
    <row r="5207" spans="30:36" ht="18">
      <c r="AD5207" s="93"/>
      <c r="AE5207" s="214"/>
      <c r="AF5207" s="93"/>
      <c r="AG5207" s="93"/>
      <c r="AH5207" s="93"/>
      <c r="AI5207" s="93"/>
      <c r="AJ5207" s="93"/>
    </row>
    <row r="5208" spans="30:36" ht="18">
      <c r="AD5208" s="93"/>
      <c r="AE5208" s="214"/>
      <c r="AF5208" s="93"/>
      <c r="AG5208" s="93"/>
      <c r="AH5208" s="93"/>
      <c r="AI5208" s="93"/>
      <c r="AJ5208" s="93"/>
    </row>
    <row r="5209" spans="30:36" ht="18">
      <c r="AD5209" s="93"/>
      <c r="AE5209" s="215"/>
      <c r="AF5209" s="93"/>
      <c r="AG5209" s="93"/>
      <c r="AH5209" s="93"/>
      <c r="AI5209" s="93"/>
      <c r="AJ5209" s="93"/>
    </row>
    <row r="5210" spans="30:36" ht="18">
      <c r="AD5210" s="93"/>
      <c r="AE5210" s="214"/>
      <c r="AF5210" s="93"/>
      <c r="AG5210" s="93"/>
      <c r="AH5210" s="93"/>
      <c r="AI5210" s="93"/>
      <c r="AJ5210" s="93"/>
    </row>
    <row r="5211" spans="30:36" ht="18">
      <c r="AD5211" s="93"/>
      <c r="AE5211" s="214"/>
      <c r="AF5211" s="93"/>
      <c r="AG5211" s="93"/>
      <c r="AH5211" s="93"/>
      <c r="AI5211" s="93"/>
      <c r="AJ5211" s="93"/>
    </row>
    <row r="5212" spans="30:36" ht="18">
      <c r="AD5212" s="93"/>
      <c r="AE5212" s="214"/>
      <c r="AF5212" s="93"/>
      <c r="AG5212" s="93"/>
      <c r="AH5212" s="93"/>
      <c r="AI5212" s="93"/>
      <c r="AJ5212" s="93"/>
    </row>
    <row r="5213" spans="30:36" ht="18">
      <c r="AD5213" s="93"/>
      <c r="AE5213" s="214"/>
      <c r="AF5213" s="93"/>
      <c r="AG5213" s="93"/>
      <c r="AH5213" s="93"/>
      <c r="AI5213" s="93"/>
      <c r="AJ5213" s="93"/>
    </row>
    <row r="5214" spans="30:36" ht="18">
      <c r="AD5214" s="93"/>
      <c r="AE5214" s="214"/>
      <c r="AF5214" s="93"/>
      <c r="AG5214" s="93"/>
      <c r="AH5214" s="93"/>
      <c r="AI5214" s="93"/>
      <c r="AJ5214" s="93"/>
    </row>
    <row r="5215" spans="30:36" ht="18">
      <c r="AD5215" s="93"/>
      <c r="AE5215" s="214"/>
      <c r="AF5215" s="93"/>
      <c r="AG5215" s="93"/>
      <c r="AH5215" s="93"/>
      <c r="AI5215" s="93"/>
      <c r="AJ5215" s="93"/>
    </row>
    <row r="5216" spans="30:36" ht="18">
      <c r="AD5216" s="93"/>
      <c r="AE5216" s="214"/>
      <c r="AF5216" s="93"/>
      <c r="AG5216" s="93"/>
      <c r="AH5216" s="93"/>
      <c r="AI5216" s="93"/>
      <c r="AJ5216" s="93"/>
    </row>
    <row r="5217" spans="30:36" ht="18">
      <c r="AD5217" s="93"/>
      <c r="AE5217" s="214"/>
      <c r="AF5217" s="93"/>
      <c r="AG5217" s="93"/>
      <c r="AH5217" s="93"/>
      <c r="AI5217" s="93"/>
      <c r="AJ5217" s="93"/>
    </row>
    <row r="5218" spans="30:36" ht="18">
      <c r="AD5218" s="93"/>
      <c r="AE5218" s="214"/>
      <c r="AF5218" s="93"/>
      <c r="AG5218" s="93"/>
      <c r="AH5218" s="93"/>
      <c r="AI5218" s="93"/>
      <c r="AJ5218" s="93"/>
    </row>
    <row r="5219" spans="30:36" ht="18">
      <c r="AD5219" s="93"/>
      <c r="AE5219" s="214"/>
      <c r="AF5219" s="93"/>
      <c r="AG5219" s="93"/>
      <c r="AH5219" s="93"/>
      <c r="AI5219" s="93"/>
      <c r="AJ5219" s="93"/>
    </row>
    <row r="5220" spans="30:36" ht="18">
      <c r="AD5220" s="93"/>
      <c r="AE5220" s="214"/>
      <c r="AF5220" s="93"/>
      <c r="AG5220" s="93"/>
      <c r="AH5220" s="93"/>
      <c r="AI5220" s="93"/>
      <c r="AJ5220" s="93"/>
    </row>
    <row r="5221" spans="30:36" ht="18">
      <c r="AD5221" s="93"/>
      <c r="AE5221" s="214"/>
      <c r="AF5221" s="93"/>
      <c r="AG5221" s="93"/>
      <c r="AH5221" s="93"/>
      <c r="AI5221" s="93"/>
      <c r="AJ5221" s="93"/>
    </row>
    <row r="5222" spans="30:36" ht="18">
      <c r="AD5222" s="93"/>
      <c r="AE5222" s="214"/>
      <c r="AF5222" s="93"/>
      <c r="AG5222" s="93"/>
      <c r="AH5222" s="93"/>
      <c r="AI5222" s="93"/>
      <c r="AJ5222" s="93"/>
    </row>
    <row r="5223" spans="30:36" ht="18">
      <c r="AD5223" s="93"/>
      <c r="AE5223" s="215"/>
      <c r="AF5223" s="93"/>
      <c r="AG5223" s="93"/>
      <c r="AH5223" s="93"/>
      <c r="AI5223" s="93"/>
      <c r="AJ5223" s="93"/>
    </row>
    <row r="5224" spans="30:36" ht="18">
      <c r="AD5224" s="93"/>
      <c r="AE5224" s="214"/>
      <c r="AF5224" s="93"/>
      <c r="AG5224" s="93"/>
      <c r="AH5224" s="93"/>
      <c r="AI5224" s="93"/>
      <c r="AJ5224" s="93"/>
    </row>
    <row r="5225" spans="30:36" ht="18">
      <c r="AD5225" s="93"/>
      <c r="AE5225" s="214"/>
      <c r="AF5225" s="93"/>
      <c r="AG5225" s="93"/>
      <c r="AH5225" s="93"/>
      <c r="AI5225" s="93"/>
      <c r="AJ5225" s="93"/>
    </row>
    <row r="5226" spans="30:36" ht="18">
      <c r="AD5226" s="93"/>
      <c r="AE5226" s="214"/>
      <c r="AF5226" s="93"/>
      <c r="AG5226" s="93"/>
      <c r="AH5226" s="93"/>
      <c r="AI5226" s="93"/>
      <c r="AJ5226" s="93"/>
    </row>
    <row r="5227" spans="30:36" ht="18">
      <c r="AD5227" s="93"/>
      <c r="AE5227" s="214"/>
      <c r="AF5227" s="93"/>
      <c r="AG5227" s="93"/>
      <c r="AH5227" s="93"/>
      <c r="AI5227" s="93"/>
      <c r="AJ5227" s="93"/>
    </row>
    <row r="5228" spans="30:36" ht="18">
      <c r="AD5228" s="93"/>
      <c r="AE5228" s="214"/>
      <c r="AF5228" s="93"/>
      <c r="AG5228" s="93"/>
      <c r="AH5228" s="93"/>
      <c r="AI5228" s="93"/>
      <c r="AJ5228" s="93"/>
    </row>
    <row r="5229" spans="30:36" ht="18">
      <c r="AD5229" s="93"/>
      <c r="AE5229" s="214"/>
      <c r="AF5229" s="93"/>
      <c r="AG5229" s="93"/>
      <c r="AH5229" s="93"/>
      <c r="AI5229" s="93"/>
      <c r="AJ5229" s="93"/>
    </row>
    <row r="5230" spans="30:36" ht="18">
      <c r="AD5230" s="93"/>
      <c r="AE5230" s="214"/>
      <c r="AF5230" s="93"/>
      <c r="AG5230" s="93"/>
      <c r="AH5230" s="93"/>
      <c r="AI5230" s="93"/>
      <c r="AJ5230" s="93"/>
    </row>
    <row r="5231" spans="30:36" ht="18">
      <c r="AD5231" s="93"/>
      <c r="AE5231" s="214"/>
      <c r="AF5231" s="93"/>
      <c r="AG5231" s="93"/>
      <c r="AH5231" s="93"/>
      <c r="AI5231" s="93"/>
      <c r="AJ5231" s="93"/>
    </row>
    <row r="5232" spans="30:36" ht="18">
      <c r="AD5232" s="93"/>
      <c r="AE5232" s="214"/>
      <c r="AF5232" s="93"/>
      <c r="AG5232" s="93"/>
      <c r="AH5232" s="93"/>
      <c r="AI5232" s="93"/>
      <c r="AJ5232" s="93"/>
    </row>
    <row r="5233" spans="30:36" ht="18">
      <c r="AD5233" s="93"/>
      <c r="AE5233" s="214"/>
      <c r="AF5233" s="93"/>
      <c r="AG5233" s="93"/>
      <c r="AH5233" s="93"/>
      <c r="AI5233" s="93"/>
      <c r="AJ5233" s="93"/>
    </row>
    <row r="5234" spans="30:36" ht="18">
      <c r="AD5234" s="93"/>
      <c r="AE5234" s="214"/>
      <c r="AF5234" s="93"/>
      <c r="AG5234" s="93"/>
      <c r="AH5234" s="93"/>
      <c r="AI5234" s="93"/>
      <c r="AJ5234" s="93"/>
    </row>
    <row r="5235" spans="30:36" ht="18">
      <c r="AD5235" s="93"/>
      <c r="AE5235" s="214"/>
      <c r="AF5235" s="93"/>
      <c r="AG5235" s="93"/>
      <c r="AH5235" s="93"/>
      <c r="AI5235" s="93"/>
      <c r="AJ5235" s="93"/>
    </row>
    <row r="5236" spans="30:36" ht="18">
      <c r="AD5236" s="93"/>
      <c r="AE5236" s="214"/>
      <c r="AF5236" s="93"/>
      <c r="AG5236" s="93"/>
      <c r="AH5236" s="93"/>
      <c r="AI5236" s="93"/>
      <c r="AJ5236" s="93"/>
    </row>
    <row r="5237" spans="30:36" ht="18">
      <c r="AD5237" s="93"/>
      <c r="AE5237" s="215"/>
      <c r="AF5237" s="93"/>
      <c r="AG5237" s="93"/>
      <c r="AH5237" s="93"/>
      <c r="AI5237" s="93"/>
      <c r="AJ5237" s="93"/>
    </row>
    <row r="5238" spans="30:36" ht="18">
      <c r="AD5238" s="93"/>
      <c r="AE5238" s="214"/>
      <c r="AF5238" s="93"/>
      <c r="AG5238" s="93"/>
      <c r="AH5238" s="93"/>
      <c r="AI5238" s="93"/>
      <c r="AJ5238" s="93"/>
    </row>
    <row r="5239" spans="30:36" ht="18">
      <c r="AD5239" s="93"/>
      <c r="AE5239" s="214"/>
      <c r="AF5239" s="93"/>
      <c r="AG5239" s="93"/>
      <c r="AH5239" s="93"/>
      <c r="AI5239" s="93"/>
      <c r="AJ5239" s="93"/>
    </row>
    <row r="5240" spans="30:36" ht="18">
      <c r="AD5240" s="93"/>
      <c r="AE5240" s="214"/>
      <c r="AF5240" s="93"/>
      <c r="AG5240" s="93"/>
      <c r="AH5240" s="93"/>
      <c r="AI5240" s="93"/>
      <c r="AJ5240" s="93"/>
    </row>
    <row r="5241" spans="30:36" ht="18">
      <c r="AD5241" s="93"/>
      <c r="AE5241" s="214"/>
      <c r="AF5241" s="93"/>
      <c r="AG5241" s="93"/>
      <c r="AH5241" s="93"/>
      <c r="AI5241" s="93"/>
      <c r="AJ5241" s="93"/>
    </row>
    <row r="5242" spans="30:36" ht="18">
      <c r="AD5242" s="93"/>
      <c r="AE5242" s="214"/>
      <c r="AF5242" s="93"/>
      <c r="AG5242" s="93"/>
      <c r="AH5242" s="93"/>
      <c r="AI5242" s="93"/>
      <c r="AJ5242" s="93"/>
    </row>
    <row r="5243" spans="30:36" ht="18">
      <c r="AD5243" s="93"/>
      <c r="AE5243" s="214"/>
      <c r="AF5243" s="93"/>
      <c r="AG5243" s="93"/>
      <c r="AH5243" s="93"/>
      <c r="AI5243" s="93"/>
      <c r="AJ5243" s="93"/>
    </row>
    <row r="5244" spans="30:36" ht="18">
      <c r="AD5244" s="93"/>
      <c r="AE5244" s="214"/>
      <c r="AF5244" s="93"/>
      <c r="AG5244" s="93"/>
      <c r="AH5244" s="93"/>
      <c r="AI5244" s="93"/>
      <c r="AJ5244" s="93"/>
    </row>
    <row r="5245" spans="30:36" ht="18">
      <c r="AD5245" s="93"/>
      <c r="AE5245" s="214"/>
      <c r="AF5245" s="93"/>
      <c r="AG5245" s="93"/>
      <c r="AH5245" s="93"/>
      <c r="AI5245" s="93"/>
      <c r="AJ5245" s="93"/>
    </row>
    <row r="5246" spans="30:36" ht="18">
      <c r="AD5246" s="93"/>
      <c r="AE5246" s="214"/>
      <c r="AF5246" s="93"/>
      <c r="AG5246" s="93"/>
      <c r="AH5246" s="93"/>
      <c r="AI5246" s="93"/>
      <c r="AJ5246" s="93"/>
    </row>
    <row r="5247" spans="30:36" ht="18">
      <c r="AD5247" s="93"/>
      <c r="AE5247" s="215"/>
      <c r="AF5247" s="93"/>
      <c r="AG5247" s="93"/>
      <c r="AH5247" s="93"/>
      <c r="AI5247" s="93"/>
      <c r="AJ5247" s="93"/>
    </row>
    <row r="5248" spans="30:36" ht="18">
      <c r="AD5248" s="93"/>
      <c r="AE5248" s="214"/>
      <c r="AF5248" s="93"/>
      <c r="AG5248" s="93"/>
      <c r="AH5248" s="93"/>
      <c r="AI5248" s="93"/>
      <c r="AJ5248" s="93"/>
    </row>
    <row r="5249" spans="30:36" ht="18">
      <c r="AD5249" s="93"/>
      <c r="AE5249" s="214"/>
      <c r="AF5249" s="93"/>
      <c r="AG5249" s="93"/>
      <c r="AH5249" s="93"/>
      <c r="AI5249" s="93"/>
      <c r="AJ5249" s="93"/>
    </row>
    <row r="5250" spans="30:36" ht="18">
      <c r="AD5250" s="93"/>
      <c r="AE5250" s="214"/>
      <c r="AF5250" s="93"/>
      <c r="AG5250" s="93"/>
      <c r="AH5250" s="93"/>
      <c r="AI5250" s="93"/>
      <c r="AJ5250" s="93"/>
    </row>
    <row r="5251" spans="30:36" ht="18">
      <c r="AD5251" s="93"/>
      <c r="AE5251" s="214"/>
      <c r="AF5251" s="93"/>
      <c r="AG5251" s="93"/>
      <c r="AH5251" s="93"/>
      <c r="AI5251" s="93"/>
      <c r="AJ5251" s="93"/>
    </row>
    <row r="5252" spans="30:36" ht="18">
      <c r="AD5252" s="93"/>
      <c r="AE5252" s="214"/>
      <c r="AF5252" s="93"/>
      <c r="AG5252" s="93"/>
      <c r="AH5252" s="93"/>
      <c r="AI5252" s="93"/>
      <c r="AJ5252" s="93"/>
    </row>
    <row r="5253" spans="30:36" ht="18">
      <c r="AD5253" s="93"/>
      <c r="AE5253" s="214"/>
      <c r="AF5253" s="93"/>
      <c r="AG5253" s="93"/>
      <c r="AH5253" s="93"/>
      <c r="AI5253" s="93"/>
      <c r="AJ5253" s="93"/>
    </row>
    <row r="5254" spans="30:36" ht="18">
      <c r="AD5254" s="93"/>
      <c r="AE5254" s="214"/>
      <c r="AF5254" s="93"/>
      <c r="AG5254" s="93"/>
      <c r="AH5254" s="93"/>
      <c r="AI5254" s="93"/>
      <c r="AJ5254" s="93"/>
    </row>
    <row r="5255" spans="30:36" ht="18">
      <c r="AD5255" s="93"/>
      <c r="AE5255" s="214"/>
      <c r="AF5255" s="93"/>
      <c r="AG5255" s="93"/>
      <c r="AH5255" s="93"/>
      <c r="AI5255" s="93"/>
      <c r="AJ5255" s="93"/>
    </row>
    <row r="5256" spans="30:36" ht="18">
      <c r="AD5256" s="93"/>
      <c r="AE5256" s="214"/>
      <c r="AF5256" s="93"/>
      <c r="AG5256" s="93"/>
      <c r="AH5256" s="93"/>
      <c r="AI5256" s="93"/>
      <c r="AJ5256" s="93"/>
    </row>
    <row r="5257" spans="30:36" ht="18">
      <c r="AD5257" s="93"/>
      <c r="AE5257" s="214"/>
      <c r="AF5257" s="93"/>
      <c r="AG5257" s="93"/>
      <c r="AH5257" s="93"/>
      <c r="AI5257" s="93"/>
      <c r="AJ5257" s="93"/>
    </row>
    <row r="5258" spans="30:36" ht="18">
      <c r="AD5258" s="93"/>
      <c r="AE5258" s="214"/>
      <c r="AF5258" s="93"/>
      <c r="AG5258" s="93"/>
      <c r="AH5258" s="93"/>
      <c r="AI5258" s="93"/>
      <c r="AJ5258" s="93"/>
    </row>
    <row r="5259" spans="30:36" ht="18">
      <c r="AD5259" s="93"/>
      <c r="AE5259" s="214"/>
      <c r="AF5259" s="93"/>
      <c r="AG5259" s="93"/>
      <c r="AH5259" s="93"/>
      <c r="AI5259" s="93"/>
      <c r="AJ5259" s="93"/>
    </row>
    <row r="5260" spans="30:36" ht="18">
      <c r="AD5260" s="93"/>
      <c r="AE5260" s="214"/>
      <c r="AF5260" s="93"/>
      <c r="AG5260" s="93"/>
      <c r="AH5260" s="93"/>
      <c r="AI5260" s="93"/>
      <c r="AJ5260" s="93"/>
    </row>
    <row r="5261" spans="30:36" ht="18">
      <c r="AD5261" s="93"/>
      <c r="AE5261" s="214"/>
      <c r="AF5261" s="93"/>
      <c r="AG5261" s="93"/>
      <c r="AH5261" s="93"/>
      <c r="AI5261" s="93"/>
      <c r="AJ5261" s="93"/>
    </row>
    <row r="5262" spans="30:36" ht="18">
      <c r="AD5262" s="93"/>
      <c r="AE5262" s="214"/>
      <c r="AF5262" s="93"/>
      <c r="AG5262" s="93"/>
      <c r="AH5262" s="93"/>
      <c r="AI5262" s="93"/>
      <c r="AJ5262" s="93"/>
    </row>
    <row r="5263" spans="30:36" ht="18">
      <c r="AD5263" s="93"/>
      <c r="AE5263" s="214"/>
      <c r="AF5263" s="93"/>
      <c r="AG5263" s="93"/>
      <c r="AH5263" s="93"/>
      <c r="AI5263" s="93"/>
      <c r="AJ5263" s="93"/>
    </row>
    <row r="5264" spans="30:36" ht="18">
      <c r="AD5264" s="93"/>
      <c r="AE5264" s="214"/>
      <c r="AF5264" s="93"/>
      <c r="AG5264" s="93"/>
      <c r="AH5264" s="93"/>
      <c r="AI5264" s="93"/>
      <c r="AJ5264" s="93"/>
    </row>
    <row r="5265" spans="30:36" ht="18">
      <c r="AD5265" s="93"/>
      <c r="AE5265" s="214"/>
      <c r="AF5265" s="93"/>
      <c r="AG5265" s="93"/>
      <c r="AH5265" s="93"/>
      <c r="AI5265" s="93"/>
      <c r="AJ5265" s="93"/>
    </row>
    <row r="5266" spans="30:36" ht="18">
      <c r="AD5266" s="93"/>
      <c r="AE5266" s="214"/>
      <c r="AF5266" s="93"/>
      <c r="AG5266" s="93"/>
      <c r="AH5266" s="93"/>
      <c r="AI5266" s="93"/>
      <c r="AJ5266" s="93"/>
    </row>
    <row r="5267" spans="30:36" ht="18">
      <c r="AD5267" s="93"/>
      <c r="AE5267" s="214"/>
      <c r="AF5267" s="93"/>
      <c r="AG5267" s="93"/>
      <c r="AH5267" s="93"/>
      <c r="AI5267" s="93"/>
      <c r="AJ5267" s="93"/>
    </row>
    <row r="5268" spans="30:36" ht="18">
      <c r="AD5268" s="93"/>
      <c r="AE5268" s="214"/>
      <c r="AF5268" s="93"/>
      <c r="AG5268" s="93"/>
      <c r="AH5268" s="93"/>
      <c r="AI5268" s="93"/>
      <c r="AJ5268" s="93"/>
    </row>
    <row r="5269" spans="30:36" ht="18">
      <c r="AD5269" s="93"/>
      <c r="AE5269" s="214"/>
      <c r="AF5269" s="93"/>
      <c r="AG5269" s="93"/>
      <c r="AH5269" s="93"/>
      <c r="AI5269" s="93"/>
      <c r="AJ5269" s="93"/>
    </row>
    <row r="5270" spans="30:36" ht="18">
      <c r="AD5270" s="93"/>
      <c r="AE5270" s="214"/>
      <c r="AF5270" s="93"/>
      <c r="AG5270" s="93"/>
      <c r="AH5270" s="93"/>
      <c r="AI5270" s="93"/>
      <c r="AJ5270" s="93"/>
    </row>
    <row r="5271" spans="30:36" ht="18">
      <c r="AD5271" s="93"/>
      <c r="AE5271" s="214"/>
      <c r="AF5271" s="93"/>
      <c r="AG5271" s="93"/>
      <c r="AH5271" s="93"/>
      <c r="AI5271" s="93"/>
      <c r="AJ5271" s="93"/>
    </row>
    <row r="5272" spans="30:36" ht="18">
      <c r="AD5272" s="93"/>
      <c r="AE5272" s="214"/>
      <c r="AF5272" s="93"/>
      <c r="AG5272" s="93"/>
      <c r="AH5272" s="93"/>
      <c r="AI5272" s="93"/>
      <c r="AJ5272" s="93"/>
    </row>
    <row r="5273" spans="30:36" ht="18">
      <c r="AD5273" s="93"/>
      <c r="AE5273" s="214"/>
      <c r="AF5273" s="93"/>
      <c r="AG5273" s="93"/>
      <c r="AH5273" s="93"/>
      <c r="AI5273" s="93"/>
      <c r="AJ5273" s="93"/>
    </row>
    <row r="5274" spans="30:36" ht="18">
      <c r="AD5274" s="93"/>
      <c r="AE5274" s="214"/>
      <c r="AF5274" s="93"/>
      <c r="AG5274" s="93"/>
      <c r="AH5274" s="93"/>
      <c r="AI5274" s="93"/>
      <c r="AJ5274" s="93"/>
    </row>
    <row r="5275" spans="30:36" ht="18">
      <c r="AD5275" s="93"/>
      <c r="AE5275" s="214"/>
      <c r="AF5275" s="93"/>
      <c r="AG5275" s="93"/>
      <c r="AH5275" s="93"/>
      <c r="AI5275" s="93"/>
      <c r="AJ5275" s="93"/>
    </row>
    <row r="5276" spans="30:36" ht="18">
      <c r="AD5276" s="93"/>
      <c r="AE5276" s="214"/>
      <c r="AF5276" s="93"/>
      <c r="AG5276" s="93"/>
      <c r="AH5276" s="93"/>
      <c r="AI5276" s="93"/>
      <c r="AJ5276" s="93"/>
    </row>
    <row r="5277" spans="30:36" ht="18">
      <c r="AD5277" s="93"/>
      <c r="AE5277" s="214"/>
      <c r="AF5277" s="93"/>
      <c r="AG5277" s="93"/>
      <c r="AH5277" s="93"/>
      <c r="AI5277" s="93"/>
      <c r="AJ5277" s="93"/>
    </row>
    <row r="5278" spans="30:36" ht="18">
      <c r="AD5278" s="93"/>
      <c r="AE5278" s="214"/>
      <c r="AF5278" s="93"/>
      <c r="AG5278" s="93"/>
      <c r="AH5278" s="93"/>
      <c r="AI5278" s="93"/>
      <c r="AJ5278" s="93"/>
    </row>
    <row r="5279" spans="30:36" ht="18">
      <c r="AD5279" s="93"/>
      <c r="AE5279" s="214"/>
      <c r="AF5279" s="93"/>
      <c r="AG5279" s="93"/>
      <c r="AH5279" s="93"/>
      <c r="AI5279" s="93"/>
      <c r="AJ5279" s="93"/>
    </row>
    <row r="5280" spans="30:36" ht="18">
      <c r="AD5280" s="93"/>
      <c r="AE5280" s="214"/>
      <c r="AF5280" s="93"/>
      <c r="AG5280" s="93"/>
      <c r="AH5280" s="93"/>
      <c r="AI5280" s="93"/>
      <c r="AJ5280" s="93"/>
    </row>
    <row r="5281" spans="30:36" ht="18">
      <c r="AD5281" s="93"/>
      <c r="AE5281" s="214"/>
      <c r="AF5281" s="93"/>
      <c r="AG5281" s="93"/>
      <c r="AH5281" s="93"/>
      <c r="AI5281" s="93"/>
      <c r="AJ5281" s="93"/>
    </row>
    <row r="5282" spans="30:36" ht="18">
      <c r="AD5282" s="93"/>
      <c r="AE5282" s="214"/>
      <c r="AF5282" s="93"/>
      <c r="AG5282" s="93"/>
      <c r="AH5282" s="93"/>
      <c r="AI5282" s="93"/>
      <c r="AJ5282" s="93"/>
    </row>
    <row r="5283" spans="30:36" ht="18">
      <c r="AD5283" s="93"/>
      <c r="AE5283" s="214"/>
      <c r="AF5283" s="93"/>
      <c r="AG5283" s="93"/>
      <c r="AH5283" s="93"/>
      <c r="AI5283" s="93"/>
      <c r="AJ5283" s="93"/>
    </row>
    <row r="5284" spans="30:36" ht="18">
      <c r="AD5284" s="93"/>
      <c r="AE5284" s="214"/>
      <c r="AF5284" s="93"/>
      <c r="AG5284" s="93"/>
      <c r="AH5284" s="93"/>
      <c r="AI5284" s="93"/>
      <c r="AJ5284" s="93"/>
    </row>
    <row r="5285" spans="30:36" ht="18">
      <c r="AD5285" s="93"/>
      <c r="AE5285" s="214"/>
      <c r="AF5285" s="93"/>
      <c r="AG5285" s="93"/>
      <c r="AH5285" s="93"/>
      <c r="AI5285" s="93"/>
      <c r="AJ5285" s="93"/>
    </row>
    <row r="5286" spans="30:36" ht="18">
      <c r="AD5286" s="93"/>
      <c r="AE5286" s="214"/>
      <c r="AF5286" s="93"/>
      <c r="AG5286" s="93"/>
      <c r="AH5286" s="93"/>
      <c r="AI5286" s="93"/>
      <c r="AJ5286" s="93"/>
    </row>
    <row r="5287" spans="30:36" ht="18">
      <c r="AD5287" s="93"/>
      <c r="AE5287" s="214"/>
      <c r="AF5287" s="93"/>
      <c r="AG5287" s="93"/>
      <c r="AH5287" s="93"/>
      <c r="AI5287" s="93"/>
      <c r="AJ5287" s="93"/>
    </row>
    <row r="5288" spans="30:36" ht="18">
      <c r="AD5288" s="93"/>
      <c r="AE5288" s="214"/>
      <c r="AF5288" s="93"/>
      <c r="AG5288" s="93"/>
      <c r="AH5288" s="93"/>
      <c r="AI5288" s="93"/>
      <c r="AJ5288" s="93"/>
    </row>
    <row r="5289" spans="30:36" ht="18">
      <c r="AD5289" s="93"/>
      <c r="AE5289" s="214"/>
      <c r="AF5289" s="93"/>
      <c r="AG5289" s="93"/>
      <c r="AH5289" s="93"/>
      <c r="AI5289" s="93"/>
      <c r="AJ5289" s="93"/>
    </row>
    <row r="5290" spans="30:36" ht="18">
      <c r="AD5290" s="93"/>
      <c r="AE5290" s="214"/>
      <c r="AF5290" s="93"/>
      <c r="AG5290" s="93"/>
      <c r="AH5290" s="93"/>
      <c r="AI5290" s="93"/>
      <c r="AJ5290" s="93"/>
    </row>
    <row r="5291" spans="30:36" ht="18">
      <c r="AD5291" s="93"/>
      <c r="AE5291" s="214"/>
      <c r="AF5291" s="93"/>
      <c r="AG5291" s="93"/>
      <c r="AH5291" s="93"/>
      <c r="AI5291" s="93"/>
      <c r="AJ5291" s="93"/>
    </row>
    <row r="5292" spans="30:36" ht="18">
      <c r="AD5292" s="93"/>
      <c r="AE5292" s="214"/>
      <c r="AF5292" s="93"/>
      <c r="AG5292" s="93"/>
      <c r="AH5292" s="93"/>
      <c r="AI5292" s="93"/>
      <c r="AJ5292" s="93"/>
    </row>
    <row r="5293" spans="30:36" ht="18">
      <c r="AD5293" s="93"/>
      <c r="AE5293" s="215"/>
      <c r="AF5293" s="93"/>
      <c r="AG5293" s="93"/>
      <c r="AH5293" s="93"/>
      <c r="AI5293" s="93"/>
      <c r="AJ5293" s="93"/>
    </row>
    <row r="5294" spans="30:36" ht="18">
      <c r="AD5294" s="93"/>
      <c r="AE5294" s="215"/>
      <c r="AF5294" s="93"/>
      <c r="AG5294" s="93"/>
      <c r="AH5294" s="93"/>
      <c r="AI5294" s="93"/>
      <c r="AJ5294" s="93"/>
    </row>
    <row r="5295" spans="30:36" ht="18">
      <c r="AD5295" s="93"/>
      <c r="AE5295" s="214"/>
      <c r="AF5295" s="93"/>
      <c r="AG5295" s="93"/>
      <c r="AH5295" s="93"/>
      <c r="AI5295" s="93"/>
      <c r="AJ5295" s="93"/>
    </row>
    <row r="5296" spans="30:36" ht="18">
      <c r="AD5296" s="93"/>
      <c r="AE5296" s="214"/>
      <c r="AF5296" s="93"/>
      <c r="AG5296" s="93"/>
      <c r="AH5296" s="93"/>
      <c r="AI5296" s="93"/>
      <c r="AJ5296" s="93"/>
    </row>
    <row r="5297" spans="30:36" ht="18">
      <c r="AD5297" s="93"/>
      <c r="AE5297" s="214"/>
      <c r="AF5297" s="93"/>
      <c r="AG5297" s="93"/>
      <c r="AH5297" s="93"/>
      <c r="AI5297" s="93"/>
      <c r="AJ5297" s="93"/>
    </row>
    <row r="5298" spans="30:36" ht="18">
      <c r="AD5298" s="93"/>
      <c r="AE5298" s="214"/>
      <c r="AF5298" s="93"/>
      <c r="AG5298" s="93"/>
      <c r="AH5298" s="93"/>
      <c r="AI5298" s="93"/>
      <c r="AJ5298" s="93"/>
    </row>
    <row r="5299" spans="30:36" ht="18">
      <c r="AD5299" s="93"/>
      <c r="AE5299" s="214"/>
      <c r="AF5299" s="93"/>
      <c r="AG5299" s="93"/>
      <c r="AH5299" s="93"/>
      <c r="AI5299" s="93"/>
      <c r="AJ5299" s="93"/>
    </row>
    <row r="5300" spans="30:36" ht="18">
      <c r="AD5300" s="93"/>
      <c r="AE5300" s="214"/>
      <c r="AF5300" s="93"/>
      <c r="AG5300" s="93"/>
      <c r="AH5300" s="93"/>
      <c r="AI5300" s="93"/>
      <c r="AJ5300" s="93"/>
    </row>
    <row r="5301" spans="30:36" ht="18">
      <c r="AD5301" s="93"/>
      <c r="AE5301" s="214"/>
      <c r="AF5301" s="93"/>
      <c r="AG5301" s="93"/>
      <c r="AH5301" s="93"/>
      <c r="AI5301" s="93"/>
      <c r="AJ5301" s="93"/>
    </row>
    <row r="5302" spans="30:36" ht="18">
      <c r="AD5302" s="93"/>
      <c r="AE5302" s="214"/>
      <c r="AF5302" s="93"/>
      <c r="AG5302" s="93"/>
      <c r="AH5302" s="93"/>
      <c r="AI5302" s="93"/>
      <c r="AJ5302" s="93"/>
    </row>
    <row r="5303" spans="30:36" ht="18">
      <c r="AD5303" s="93"/>
      <c r="AE5303" s="214"/>
      <c r="AF5303" s="93"/>
      <c r="AG5303" s="93"/>
      <c r="AH5303" s="93"/>
      <c r="AI5303" s="93"/>
      <c r="AJ5303" s="93"/>
    </row>
    <row r="5304" spans="30:36" ht="18">
      <c r="AD5304" s="93"/>
      <c r="AE5304" s="214"/>
      <c r="AF5304" s="93"/>
      <c r="AG5304" s="93"/>
      <c r="AH5304" s="93"/>
      <c r="AI5304" s="93"/>
      <c r="AJ5304" s="93"/>
    </row>
    <row r="5305" spans="30:36" ht="18">
      <c r="AD5305" s="93"/>
      <c r="AE5305" s="214"/>
      <c r="AF5305" s="93"/>
      <c r="AG5305" s="93"/>
      <c r="AH5305" s="93"/>
      <c r="AI5305" s="93"/>
      <c r="AJ5305" s="93"/>
    </row>
    <row r="5306" spans="30:36" ht="18">
      <c r="AD5306" s="93"/>
      <c r="AE5306" s="214"/>
      <c r="AF5306" s="93"/>
      <c r="AG5306" s="93"/>
      <c r="AH5306" s="93"/>
      <c r="AI5306" s="93"/>
      <c r="AJ5306" s="93"/>
    </row>
    <row r="5307" spans="30:36" ht="18">
      <c r="AD5307" s="93"/>
      <c r="AE5307" s="214"/>
      <c r="AF5307" s="93"/>
      <c r="AG5307" s="93"/>
      <c r="AH5307" s="93"/>
      <c r="AI5307" s="93"/>
      <c r="AJ5307" s="93"/>
    </row>
    <row r="5308" spans="30:36" ht="18">
      <c r="AD5308" s="93"/>
      <c r="AE5308" s="214"/>
      <c r="AF5308" s="93"/>
      <c r="AG5308" s="93"/>
      <c r="AH5308" s="93"/>
      <c r="AI5308" s="93"/>
      <c r="AJ5308" s="93"/>
    </row>
    <row r="5309" spans="30:36" ht="18">
      <c r="AD5309" s="93"/>
      <c r="AE5309" s="214"/>
      <c r="AF5309" s="93"/>
      <c r="AG5309" s="93"/>
      <c r="AH5309" s="93"/>
      <c r="AI5309" s="93"/>
      <c r="AJ5309" s="93"/>
    </row>
    <row r="5310" spans="30:36" ht="18">
      <c r="AD5310" s="93"/>
      <c r="AE5310" s="214"/>
      <c r="AF5310" s="93"/>
      <c r="AG5310" s="93"/>
      <c r="AH5310" s="93"/>
      <c r="AI5310" s="93"/>
      <c r="AJ5310" s="93"/>
    </row>
    <row r="5311" spans="30:36" ht="18">
      <c r="AD5311" s="93"/>
      <c r="AE5311" s="215"/>
      <c r="AF5311" s="93"/>
      <c r="AG5311" s="93"/>
      <c r="AH5311" s="93"/>
      <c r="AI5311" s="93"/>
      <c r="AJ5311" s="93"/>
    </row>
    <row r="5312" spans="30:36" ht="18">
      <c r="AD5312" s="93"/>
      <c r="AE5312" s="215"/>
      <c r="AF5312" s="93"/>
      <c r="AG5312" s="93"/>
      <c r="AH5312" s="93"/>
      <c r="AI5312" s="93"/>
      <c r="AJ5312" s="93"/>
    </row>
    <row r="5313" spans="30:36" ht="18">
      <c r="AD5313" s="93"/>
      <c r="AE5313" s="214"/>
      <c r="AF5313" s="93"/>
      <c r="AG5313" s="93"/>
      <c r="AH5313" s="93"/>
      <c r="AI5313" s="93"/>
      <c r="AJ5313" s="93"/>
    </row>
    <row r="5314" spans="30:36" ht="18">
      <c r="AD5314" s="93"/>
      <c r="AE5314" s="214"/>
      <c r="AF5314" s="93"/>
      <c r="AG5314" s="93"/>
      <c r="AH5314" s="93"/>
      <c r="AI5314" s="93"/>
      <c r="AJ5314" s="93"/>
    </row>
    <row r="5315" spans="30:36" ht="18">
      <c r="AD5315" s="93"/>
      <c r="AE5315" s="214"/>
      <c r="AF5315" s="93"/>
      <c r="AG5315" s="93"/>
      <c r="AH5315" s="93"/>
      <c r="AI5315" s="93"/>
      <c r="AJ5315" s="93"/>
    </row>
    <row r="5316" spans="30:36" ht="18">
      <c r="AD5316" s="93"/>
      <c r="AE5316" s="214"/>
      <c r="AF5316" s="93"/>
      <c r="AG5316" s="93"/>
      <c r="AH5316" s="93"/>
      <c r="AI5316" s="93"/>
      <c r="AJ5316" s="93"/>
    </row>
    <row r="5317" spans="30:36" ht="18">
      <c r="AD5317" s="93"/>
      <c r="AE5317" s="214"/>
      <c r="AF5317" s="93"/>
      <c r="AG5317" s="93"/>
      <c r="AH5317" s="93"/>
      <c r="AI5317" s="93"/>
      <c r="AJ5317" s="93"/>
    </row>
    <row r="5318" spans="30:36" ht="18">
      <c r="AD5318" s="93"/>
      <c r="AE5318" s="214"/>
      <c r="AF5318" s="93"/>
      <c r="AG5318" s="93"/>
      <c r="AH5318" s="93"/>
      <c r="AI5318" s="93"/>
      <c r="AJ5318" s="93"/>
    </row>
    <row r="5319" spans="30:36" ht="18">
      <c r="AD5319" s="93"/>
      <c r="AE5319" s="214"/>
      <c r="AF5319" s="93"/>
      <c r="AG5319" s="93"/>
      <c r="AH5319" s="93"/>
      <c r="AI5319" s="93"/>
      <c r="AJ5319" s="93"/>
    </row>
    <row r="5320" spans="30:36" ht="18">
      <c r="AD5320" s="93"/>
      <c r="AE5320" s="214"/>
      <c r="AF5320" s="93"/>
      <c r="AG5320" s="93"/>
      <c r="AH5320" s="93"/>
      <c r="AI5320" s="93"/>
      <c r="AJ5320" s="93"/>
    </row>
    <row r="5321" spans="30:36" ht="18">
      <c r="AD5321" s="93"/>
      <c r="AE5321" s="214"/>
      <c r="AF5321" s="93"/>
      <c r="AG5321" s="93"/>
      <c r="AH5321" s="93"/>
      <c r="AI5321" s="93"/>
      <c r="AJ5321" s="93"/>
    </row>
    <row r="5322" spans="30:36" ht="18">
      <c r="AD5322" s="93"/>
      <c r="AE5322" s="214"/>
      <c r="AF5322" s="93"/>
      <c r="AG5322" s="93"/>
      <c r="AH5322" s="93"/>
      <c r="AI5322" s="93"/>
      <c r="AJ5322" s="93"/>
    </row>
    <row r="5323" spans="30:36" ht="18">
      <c r="AD5323" s="93"/>
      <c r="AE5323" s="214"/>
      <c r="AF5323" s="93"/>
      <c r="AG5323" s="93"/>
      <c r="AH5323" s="93"/>
      <c r="AI5323" s="93"/>
      <c r="AJ5323" s="93"/>
    </row>
    <row r="5324" spans="30:36" ht="18">
      <c r="AD5324" s="93"/>
      <c r="AE5324" s="214"/>
      <c r="AF5324" s="93"/>
      <c r="AG5324" s="93"/>
      <c r="AH5324" s="93"/>
      <c r="AI5324" s="93"/>
      <c r="AJ5324" s="93"/>
    </row>
    <row r="5325" spans="30:36" ht="18">
      <c r="AD5325" s="93"/>
      <c r="AE5325" s="214"/>
      <c r="AF5325" s="93"/>
      <c r="AG5325" s="93"/>
      <c r="AH5325" s="93"/>
      <c r="AI5325" s="93"/>
      <c r="AJ5325" s="93"/>
    </row>
    <row r="5326" spans="30:36" ht="18">
      <c r="AD5326" s="93"/>
      <c r="AE5326" s="214"/>
      <c r="AF5326" s="93"/>
      <c r="AG5326" s="93"/>
      <c r="AH5326" s="93"/>
      <c r="AI5326" s="93"/>
      <c r="AJ5326" s="93"/>
    </row>
    <row r="5327" spans="30:36" ht="18">
      <c r="AD5327" s="93"/>
      <c r="AE5327" s="214"/>
      <c r="AF5327" s="93"/>
      <c r="AG5327" s="93"/>
      <c r="AH5327" s="93"/>
      <c r="AI5327" s="93"/>
      <c r="AJ5327" s="93"/>
    </row>
    <row r="5328" spans="30:36" ht="18">
      <c r="AD5328" s="93"/>
      <c r="AE5328" s="214"/>
      <c r="AF5328" s="93"/>
      <c r="AG5328" s="93"/>
      <c r="AH5328" s="93"/>
      <c r="AI5328" s="93"/>
      <c r="AJ5328" s="93"/>
    </row>
    <row r="5329" spans="30:36" ht="18">
      <c r="AD5329" s="93"/>
      <c r="AE5329" s="214"/>
      <c r="AF5329" s="93"/>
      <c r="AG5329" s="93"/>
      <c r="AH5329" s="93"/>
      <c r="AI5329" s="93"/>
      <c r="AJ5329" s="93"/>
    </row>
    <row r="5330" spans="30:36" ht="18">
      <c r="AD5330" s="93"/>
      <c r="AE5330" s="214"/>
      <c r="AF5330" s="93"/>
      <c r="AG5330" s="93"/>
      <c r="AH5330" s="93"/>
      <c r="AI5330" s="93"/>
      <c r="AJ5330" s="93"/>
    </row>
    <row r="5331" spans="30:36" ht="18">
      <c r="AD5331" s="93"/>
      <c r="AE5331" s="215"/>
      <c r="AF5331" s="93"/>
      <c r="AG5331" s="93"/>
      <c r="AH5331" s="93"/>
      <c r="AI5331" s="93"/>
      <c r="AJ5331" s="93"/>
    </row>
    <row r="5332" spans="30:36" ht="18">
      <c r="AD5332" s="93"/>
      <c r="AE5332" s="214"/>
      <c r="AF5332" s="93"/>
      <c r="AG5332" s="93"/>
      <c r="AH5332" s="93"/>
      <c r="AI5332" s="93"/>
      <c r="AJ5332" s="93"/>
    </row>
    <row r="5333" spans="30:36" ht="18">
      <c r="AD5333" s="93"/>
      <c r="AE5333" s="214"/>
      <c r="AF5333" s="93"/>
      <c r="AG5333" s="93"/>
      <c r="AH5333" s="93"/>
      <c r="AI5333" s="93"/>
      <c r="AJ5333" s="93"/>
    </row>
    <row r="5334" spans="30:36" ht="18">
      <c r="AD5334" s="93"/>
      <c r="AE5334" s="214"/>
      <c r="AF5334" s="93"/>
      <c r="AG5334" s="93"/>
      <c r="AH5334" s="93"/>
      <c r="AI5334" s="93"/>
      <c r="AJ5334" s="93"/>
    </row>
    <row r="5335" spans="30:36" ht="18">
      <c r="AD5335" s="93"/>
      <c r="AE5335" s="214"/>
      <c r="AF5335" s="93"/>
      <c r="AG5335" s="93"/>
      <c r="AH5335" s="93"/>
      <c r="AI5335" s="93"/>
      <c r="AJ5335" s="93"/>
    </row>
    <row r="5336" spans="30:36" ht="18">
      <c r="AD5336" s="93"/>
      <c r="AE5336" s="214"/>
      <c r="AF5336" s="93"/>
      <c r="AG5336" s="93"/>
      <c r="AH5336" s="93"/>
      <c r="AI5336" s="93"/>
      <c r="AJ5336" s="93"/>
    </row>
    <row r="5337" spans="30:36" ht="18">
      <c r="AD5337" s="93"/>
      <c r="AE5337" s="214"/>
      <c r="AF5337" s="93"/>
      <c r="AG5337" s="93"/>
      <c r="AH5337" s="93"/>
      <c r="AI5337" s="93"/>
      <c r="AJ5337" s="93"/>
    </row>
    <row r="5338" spans="30:36" ht="18">
      <c r="AD5338" s="93"/>
      <c r="AE5338" s="214"/>
      <c r="AF5338" s="93"/>
      <c r="AG5338" s="93"/>
      <c r="AH5338" s="93"/>
      <c r="AI5338" s="93"/>
      <c r="AJ5338" s="93"/>
    </row>
    <row r="5339" spans="30:36" ht="18">
      <c r="AD5339" s="93"/>
      <c r="AE5339" s="214"/>
      <c r="AF5339" s="93"/>
      <c r="AG5339" s="93"/>
      <c r="AH5339" s="93"/>
      <c r="AI5339" s="93"/>
      <c r="AJ5339" s="93"/>
    </row>
    <row r="5340" spans="30:36" ht="18">
      <c r="AD5340" s="93"/>
      <c r="AE5340" s="214"/>
      <c r="AF5340" s="93"/>
      <c r="AG5340" s="93"/>
      <c r="AH5340" s="93"/>
      <c r="AI5340" s="93"/>
      <c r="AJ5340" s="93"/>
    </row>
    <row r="5341" spans="30:36" ht="18">
      <c r="AD5341" s="93"/>
      <c r="AE5341" s="214"/>
      <c r="AF5341" s="93"/>
      <c r="AG5341" s="93"/>
      <c r="AH5341" s="93"/>
      <c r="AI5341" s="93"/>
      <c r="AJ5341" s="93"/>
    </row>
    <row r="5342" spans="30:36" ht="18">
      <c r="AD5342" s="93"/>
      <c r="AE5342" s="214"/>
      <c r="AF5342" s="93"/>
      <c r="AG5342" s="93"/>
      <c r="AH5342" s="93"/>
      <c r="AI5342" s="93"/>
      <c r="AJ5342" s="93"/>
    </row>
    <row r="5343" spans="30:36" ht="18">
      <c r="AD5343" s="93"/>
      <c r="AE5343" s="215"/>
      <c r="AF5343" s="93"/>
      <c r="AG5343" s="93"/>
      <c r="AH5343" s="93"/>
      <c r="AI5343" s="93"/>
      <c r="AJ5343" s="93"/>
    </row>
    <row r="5344" spans="30:36" ht="18">
      <c r="AD5344" s="93"/>
      <c r="AE5344" s="215"/>
      <c r="AF5344" s="93"/>
      <c r="AG5344" s="93"/>
      <c r="AH5344" s="93"/>
      <c r="AI5344" s="93"/>
      <c r="AJ5344" s="93"/>
    </row>
    <row r="5345" spans="30:36" ht="18">
      <c r="AD5345" s="93"/>
      <c r="AE5345" s="214"/>
      <c r="AF5345" s="93"/>
      <c r="AG5345" s="93"/>
      <c r="AH5345" s="93"/>
      <c r="AI5345" s="93"/>
      <c r="AJ5345" s="93"/>
    </row>
    <row r="5346" spans="30:36" ht="18">
      <c r="AD5346" s="93"/>
      <c r="AE5346" s="214"/>
      <c r="AF5346" s="93"/>
      <c r="AG5346" s="93"/>
      <c r="AH5346" s="93"/>
      <c r="AI5346" s="93"/>
      <c r="AJ5346" s="93"/>
    </row>
    <row r="5347" spans="30:36" ht="18">
      <c r="AD5347" s="93"/>
      <c r="AE5347" s="214"/>
      <c r="AF5347" s="93"/>
      <c r="AG5347" s="93"/>
      <c r="AH5347" s="93"/>
      <c r="AI5347" s="93"/>
      <c r="AJ5347" s="93"/>
    </row>
    <row r="5348" spans="30:36" ht="18">
      <c r="AD5348" s="93"/>
      <c r="AE5348" s="214"/>
      <c r="AF5348" s="93"/>
      <c r="AG5348" s="93"/>
      <c r="AH5348" s="93"/>
      <c r="AI5348" s="93"/>
      <c r="AJ5348" s="93"/>
    </row>
    <row r="5349" spans="30:36" ht="18">
      <c r="AD5349" s="93"/>
      <c r="AE5349" s="214"/>
      <c r="AF5349" s="93"/>
      <c r="AG5349" s="93"/>
      <c r="AH5349" s="93"/>
      <c r="AI5349" s="93"/>
      <c r="AJ5349" s="93"/>
    </row>
    <row r="5350" spans="30:36" ht="18">
      <c r="AD5350" s="93"/>
      <c r="AE5350" s="215"/>
      <c r="AF5350" s="93"/>
      <c r="AG5350" s="93"/>
      <c r="AH5350" s="93"/>
      <c r="AI5350" s="93"/>
      <c r="AJ5350" s="93"/>
    </row>
    <row r="5351" spans="30:36" ht="18">
      <c r="AD5351" s="93"/>
      <c r="AE5351" s="215"/>
      <c r="AF5351" s="93"/>
      <c r="AG5351" s="93"/>
      <c r="AH5351" s="93"/>
      <c r="AI5351" s="93"/>
      <c r="AJ5351" s="93"/>
    </row>
    <row r="5352" spans="30:36" ht="18">
      <c r="AD5352" s="93"/>
      <c r="AE5352" s="214"/>
      <c r="AF5352" s="93"/>
      <c r="AG5352" s="93"/>
      <c r="AH5352" s="93"/>
      <c r="AI5352" s="93"/>
      <c r="AJ5352" s="93"/>
    </row>
    <row r="5353" spans="30:36" ht="18">
      <c r="AD5353" s="93"/>
      <c r="AE5353" s="214"/>
      <c r="AF5353" s="93"/>
      <c r="AG5353" s="93"/>
      <c r="AH5353" s="93"/>
      <c r="AI5353" s="93"/>
      <c r="AJ5353" s="93"/>
    </row>
    <row r="5354" spans="30:36" ht="18">
      <c r="AD5354" s="93"/>
      <c r="AE5354" s="214"/>
      <c r="AF5354" s="93"/>
      <c r="AG5354" s="93"/>
      <c r="AH5354" s="93"/>
      <c r="AI5354" s="93"/>
      <c r="AJ5354" s="93"/>
    </row>
    <row r="5355" spans="30:36" ht="18">
      <c r="AD5355" s="93"/>
      <c r="AE5355" s="214"/>
      <c r="AF5355" s="93"/>
      <c r="AG5355" s="93"/>
      <c r="AH5355" s="93"/>
      <c r="AI5355" s="93"/>
      <c r="AJ5355" s="93"/>
    </row>
    <row r="5356" spans="30:36" ht="18">
      <c r="AD5356" s="93"/>
      <c r="AE5356" s="215"/>
      <c r="AF5356" s="93"/>
      <c r="AG5356" s="93"/>
      <c r="AH5356" s="93"/>
      <c r="AI5356" s="93"/>
      <c r="AJ5356" s="93"/>
    </row>
    <row r="5357" spans="30:36" ht="18">
      <c r="AD5357" s="93"/>
      <c r="AE5357" s="215"/>
      <c r="AF5357" s="93"/>
      <c r="AG5357" s="93"/>
      <c r="AH5357" s="93"/>
      <c r="AI5357" s="93"/>
      <c r="AJ5357" s="93"/>
    </row>
    <row r="5358" spans="30:36" ht="18">
      <c r="AD5358" s="93"/>
      <c r="AE5358" s="214"/>
      <c r="AF5358" s="93"/>
      <c r="AG5358" s="93"/>
      <c r="AH5358" s="93"/>
      <c r="AI5358" s="93"/>
      <c r="AJ5358" s="93"/>
    </row>
    <row r="5359" spans="30:36" ht="18">
      <c r="AD5359" s="93"/>
      <c r="AE5359" s="214"/>
      <c r="AF5359" s="93"/>
      <c r="AG5359" s="93"/>
      <c r="AH5359" s="93"/>
      <c r="AI5359" s="93"/>
      <c r="AJ5359" s="93"/>
    </row>
    <row r="5360" spans="30:36" ht="18">
      <c r="AD5360" s="93"/>
      <c r="AE5360" s="214"/>
      <c r="AF5360" s="93"/>
      <c r="AG5360" s="93"/>
      <c r="AH5360" s="93"/>
      <c r="AI5360" s="93"/>
      <c r="AJ5360" s="93"/>
    </row>
    <row r="5361" spans="30:36" ht="18">
      <c r="AD5361" s="93"/>
      <c r="AE5361" s="214"/>
      <c r="AF5361" s="93"/>
      <c r="AG5361" s="93"/>
      <c r="AH5361" s="93"/>
      <c r="AI5361" s="93"/>
      <c r="AJ5361" s="93"/>
    </row>
    <row r="5362" spans="30:36" ht="18">
      <c r="AD5362" s="93"/>
      <c r="AE5362" s="214"/>
      <c r="AF5362" s="93"/>
      <c r="AG5362" s="93"/>
      <c r="AH5362" s="93"/>
      <c r="AI5362" s="93"/>
      <c r="AJ5362" s="93"/>
    </row>
    <row r="5363" spans="30:36" ht="18">
      <c r="AD5363" s="93"/>
      <c r="AE5363" s="214"/>
      <c r="AF5363" s="93"/>
      <c r="AG5363" s="93"/>
      <c r="AH5363" s="93"/>
      <c r="AI5363" s="93"/>
      <c r="AJ5363" s="93"/>
    </row>
    <row r="5364" spans="30:36" ht="18">
      <c r="AD5364" s="93"/>
      <c r="AE5364" s="214"/>
      <c r="AF5364" s="93"/>
      <c r="AG5364" s="93"/>
      <c r="AH5364" s="93"/>
      <c r="AI5364" s="93"/>
      <c r="AJ5364" s="93"/>
    </row>
    <row r="5365" spans="30:36" ht="18">
      <c r="AD5365" s="93"/>
      <c r="AE5365" s="214"/>
      <c r="AF5365" s="93"/>
      <c r="AG5365" s="93"/>
      <c r="AH5365" s="93"/>
      <c r="AI5365" s="93"/>
      <c r="AJ5365" s="93"/>
    </row>
    <row r="5366" spans="30:36" ht="18">
      <c r="AD5366" s="93"/>
      <c r="AE5366" s="214"/>
      <c r="AF5366" s="93"/>
      <c r="AG5366" s="93"/>
      <c r="AH5366" s="93"/>
      <c r="AI5366" s="93"/>
      <c r="AJ5366" s="93"/>
    </row>
    <row r="5367" spans="30:36" ht="18">
      <c r="AD5367" s="93"/>
      <c r="AE5367" s="214"/>
      <c r="AF5367" s="93"/>
      <c r="AG5367" s="93"/>
      <c r="AH5367" s="93"/>
      <c r="AI5367" s="93"/>
      <c r="AJ5367" s="93"/>
    </row>
    <row r="5368" spans="30:36" ht="18">
      <c r="AD5368" s="93"/>
      <c r="AE5368" s="214"/>
      <c r="AF5368" s="93"/>
      <c r="AG5368" s="93"/>
      <c r="AH5368" s="93"/>
      <c r="AI5368" s="93"/>
      <c r="AJ5368" s="93"/>
    </row>
    <row r="5369" spans="30:36" ht="18">
      <c r="AD5369" s="93"/>
      <c r="AE5369" s="214"/>
      <c r="AF5369" s="93"/>
      <c r="AG5369" s="93"/>
      <c r="AH5369" s="93"/>
      <c r="AI5369" s="93"/>
      <c r="AJ5369" s="93"/>
    </row>
    <row r="5370" spans="30:36" ht="18">
      <c r="AD5370" s="93"/>
      <c r="AE5370" s="214"/>
      <c r="AF5370" s="93"/>
      <c r="AG5370" s="93"/>
      <c r="AH5370" s="93"/>
      <c r="AI5370" s="93"/>
      <c r="AJ5370" s="93"/>
    </row>
    <row r="5371" spans="30:36" ht="18">
      <c r="AD5371" s="93"/>
      <c r="AE5371" s="214"/>
      <c r="AF5371" s="93"/>
      <c r="AG5371" s="93"/>
      <c r="AH5371" s="93"/>
      <c r="AI5371" s="93"/>
      <c r="AJ5371" s="93"/>
    </row>
    <row r="5372" spans="30:36" ht="18">
      <c r="AD5372" s="93"/>
      <c r="AE5372" s="214"/>
      <c r="AF5372" s="93"/>
      <c r="AG5372" s="93"/>
      <c r="AH5372" s="93"/>
      <c r="AI5372" s="93"/>
      <c r="AJ5372" s="93"/>
    </row>
    <row r="5373" spans="30:36" ht="18">
      <c r="AD5373" s="93"/>
      <c r="AE5373" s="215"/>
      <c r="AF5373" s="93"/>
      <c r="AG5373" s="93"/>
      <c r="AH5373" s="93"/>
      <c r="AI5373" s="93"/>
      <c r="AJ5373" s="93"/>
    </row>
    <row r="5374" spans="30:36" ht="18">
      <c r="AD5374" s="93"/>
      <c r="AE5374" s="215"/>
      <c r="AF5374" s="93"/>
      <c r="AG5374" s="93"/>
      <c r="AH5374" s="93"/>
      <c r="AI5374" s="93"/>
      <c r="AJ5374" s="93"/>
    </row>
    <row r="5375" spans="30:36" ht="18">
      <c r="AD5375" s="93"/>
      <c r="AE5375" s="214"/>
      <c r="AF5375" s="93"/>
      <c r="AG5375" s="93"/>
      <c r="AH5375" s="93"/>
      <c r="AI5375" s="93"/>
      <c r="AJ5375" s="93"/>
    </row>
    <row r="5376" spans="30:36" ht="18">
      <c r="AD5376" s="93"/>
      <c r="AE5376" s="214"/>
      <c r="AF5376" s="93"/>
      <c r="AG5376" s="93"/>
      <c r="AH5376" s="93"/>
      <c r="AI5376" s="93"/>
      <c r="AJ5376" s="93"/>
    </row>
    <row r="5377" spans="30:36" ht="18">
      <c r="AD5377" s="93"/>
      <c r="AE5377" s="214"/>
      <c r="AF5377" s="93"/>
      <c r="AG5377" s="93"/>
      <c r="AH5377" s="93"/>
      <c r="AI5377" s="93"/>
      <c r="AJ5377" s="93"/>
    </row>
    <row r="5378" spans="30:36" ht="18">
      <c r="AD5378" s="93"/>
      <c r="AE5378" s="215"/>
      <c r="AF5378" s="93"/>
      <c r="AG5378" s="93"/>
      <c r="AH5378" s="93"/>
      <c r="AI5378" s="93"/>
      <c r="AJ5378" s="93"/>
    </row>
    <row r="5379" spans="30:36" ht="18">
      <c r="AD5379" s="93"/>
      <c r="AE5379" s="214"/>
      <c r="AF5379" s="93"/>
      <c r="AG5379" s="93"/>
      <c r="AH5379" s="93"/>
      <c r="AI5379" s="93"/>
      <c r="AJ5379" s="93"/>
    </row>
    <row r="5380" spans="30:36" ht="18">
      <c r="AD5380" s="93"/>
      <c r="AE5380" s="214"/>
      <c r="AF5380" s="93"/>
      <c r="AG5380" s="93"/>
      <c r="AH5380" s="93"/>
      <c r="AI5380" s="93"/>
      <c r="AJ5380" s="93"/>
    </row>
    <row r="5381" spans="30:36" ht="18">
      <c r="AD5381" s="93"/>
      <c r="AE5381" s="214"/>
      <c r="AF5381" s="93"/>
      <c r="AG5381" s="93"/>
      <c r="AH5381" s="93"/>
      <c r="AI5381" s="93"/>
      <c r="AJ5381" s="93"/>
    </row>
    <row r="5382" spans="30:36" ht="18">
      <c r="AD5382" s="93"/>
      <c r="AE5382" s="215"/>
      <c r="AF5382" s="93"/>
      <c r="AG5382" s="93"/>
      <c r="AH5382" s="93"/>
      <c r="AI5382" s="93"/>
      <c r="AJ5382" s="93"/>
    </row>
    <row r="5383" spans="30:36" ht="18">
      <c r="AD5383" s="93"/>
      <c r="AE5383" s="214"/>
      <c r="AF5383" s="93"/>
      <c r="AG5383" s="93"/>
      <c r="AH5383" s="93"/>
      <c r="AI5383" s="93"/>
      <c r="AJ5383" s="93"/>
    </row>
    <row r="5384" spans="30:36" ht="18">
      <c r="AD5384" s="93"/>
      <c r="AE5384" s="214"/>
      <c r="AF5384" s="93"/>
      <c r="AG5384" s="93"/>
      <c r="AH5384" s="93"/>
      <c r="AI5384" s="93"/>
      <c r="AJ5384" s="93"/>
    </row>
    <row r="5385" spans="30:36" ht="18">
      <c r="AD5385" s="93"/>
      <c r="AE5385" s="214"/>
      <c r="AF5385" s="93"/>
      <c r="AG5385" s="93"/>
      <c r="AH5385" s="93"/>
      <c r="AI5385" s="93"/>
      <c r="AJ5385" s="93"/>
    </row>
    <row r="5386" spans="30:36" ht="18">
      <c r="AD5386" s="93"/>
      <c r="AE5386" s="214"/>
      <c r="AF5386" s="93"/>
      <c r="AG5386" s="93"/>
      <c r="AH5386" s="93"/>
      <c r="AI5386" s="93"/>
      <c r="AJ5386" s="93"/>
    </row>
    <row r="5387" spans="30:36" ht="18">
      <c r="AD5387" s="93"/>
      <c r="AE5387" s="214"/>
      <c r="AF5387" s="93"/>
      <c r="AG5387" s="93"/>
      <c r="AH5387" s="93"/>
      <c r="AI5387" s="93"/>
      <c r="AJ5387" s="93"/>
    </row>
    <row r="5388" spans="30:36" ht="18">
      <c r="AD5388" s="93"/>
      <c r="AE5388" s="214"/>
      <c r="AF5388" s="93"/>
      <c r="AG5388" s="93"/>
      <c r="AH5388" s="93"/>
      <c r="AI5388" s="93"/>
      <c r="AJ5388" s="93"/>
    </row>
    <row r="5389" spans="30:36" ht="18">
      <c r="AD5389" s="93"/>
      <c r="AE5389" s="214"/>
      <c r="AF5389" s="93"/>
      <c r="AG5389" s="93"/>
      <c r="AH5389" s="93"/>
      <c r="AI5389" s="93"/>
      <c r="AJ5389" s="93"/>
    </row>
    <row r="5390" spans="30:36" ht="18">
      <c r="AD5390" s="93"/>
      <c r="AE5390" s="214"/>
      <c r="AF5390" s="93"/>
      <c r="AG5390" s="93"/>
      <c r="AH5390" s="93"/>
      <c r="AI5390" s="93"/>
      <c r="AJ5390" s="93"/>
    </row>
    <row r="5391" spans="30:36" ht="18">
      <c r="AD5391" s="93"/>
      <c r="AE5391" s="214"/>
      <c r="AF5391" s="93"/>
      <c r="AG5391" s="93"/>
      <c r="AH5391" s="93"/>
      <c r="AI5391" s="93"/>
      <c r="AJ5391" s="93"/>
    </row>
    <row r="5392" spans="30:36" ht="18">
      <c r="AD5392" s="93"/>
      <c r="AE5392" s="214"/>
      <c r="AF5392" s="93"/>
      <c r="AG5392" s="93"/>
      <c r="AH5392" s="93"/>
      <c r="AI5392" s="93"/>
      <c r="AJ5392" s="93"/>
    </row>
    <row r="5393" spans="30:36" ht="18">
      <c r="AD5393" s="93"/>
      <c r="AE5393" s="215"/>
      <c r="AF5393" s="93"/>
      <c r="AG5393" s="93"/>
      <c r="AH5393" s="93"/>
      <c r="AI5393" s="93"/>
      <c r="AJ5393" s="93"/>
    </row>
    <row r="5394" spans="30:36" ht="18">
      <c r="AD5394" s="93"/>
      <c r="AE5394" s="215"/>
      <c r="AF5394" s="93"/>
      <c r="AG5394" s="93"/>
      <c r="AH5394" s="93"/>
      <c r="AI5394" s="93"/>
      <c r="AJ5394" s="93"/>
    </row>
    <row r="5395" spans="30:36" ht="18">
      <c r="AD5395" s="93"/>
      <c r="AE5395" s="215"/>
      <c r="AF5395" s="93"/>
      <c r="AG5395" s="93"/>
      <c r="AH5395" s="93"/>
      <c r="AI5395" s="93"/>
      <c r="AJ5395" s="93"/>
    </row>
    <row r="5396" spans="30:36" ht="18">
      <c r="AD5396" s="93"/>
      <c r="AE5396" s="214"/>
      <c r="AF5396" s="93"/>
      <c r="AG5396" s="93"/>
      <c r="AH5396" s="93"/>
      <c r="AI5396" s="93"/>
      <c r="AJ5396" s="93"/>
    </row>
    <row r="5397" spans="30:36" ht="18">
      <c r="AD5397" s="93"/>
      <c r="AE5397" s="214"/>
      <c r="AF5397" s="93"/>
      <c r="AG5397" s="93"/>
      <c r="AH5397" s="93"/>
      <c r="AI5397" s="93"/>
      <c r="AJ5397" s="93"/>
    </row>
    <row r="5398" spans="30:36" ht="18">
      <c r="AD5398" s="93"/>
      <c r="AE5398" s="214"/>
      <c r="AF5398" s="93"/>
      <c r="AG5398" s="93"/>
      <c r="AH5398" s="93"/>
      <c r="AI5398" s="93"/>
      <c r="AJ5398" s="93"/>
    </row>
    <row r="5399" spans="30:36" ht="18">
      <c r="AD5399" s="93"/>
      <c r="AE5399" s="214"/>
      <c r="AF5399" s="93"/>
      <c r="AG5399" s="93"/>
      <c r="AH5399" s="93"/>
      <c r="AI5399" s="93"/>
    </row>
  </sheetData>
  <mergeCells count="40">
    <mergeCell ref="R76:T76"/>
    <mergeCell ref="R19:S19"/>
    <mergeCell ref="R28:S28"/>
    <mergeCell ref="R12:S12"/>
    <mergeCell ref="S5:S6"/>
    <mergeCell ref="AD3:AD6"/>
    <mergeCell ref="P4:P6"/>
    <mergeCell ref="Q4:Q6"/>
    <mergeCell ref="AC4:AC6"/>
    <mergeCell ref="W3:Y3"/>
    <mergeCell ref="Y4:Y6"/>
    <mergeCell ref="U4:U6"/>
    <mergeCell ref="W4:W6"/>
    <mergeCell ref="X4:X6"/>
    <mergeCell ref="V4:V6"/>
    <mergeCell ref="R5:R6"/>
    <mergeCell ref="A3:A6"/>
    <mergeCell ref="C4:C6"/>
    <mergeCell ref="D4:D6"/>
    <mergeCell ref="E4:E6"/>
    <mergeCell ref="AA4:AA6"/>
    <mergeCell ref="Z4:Z6"/>
    <mergeCell ref="T4:T6"/>
    <mergeCell ref="M4:M6"/>
    <mergeCell ref="G3:G6"/>
    <mergeCell ref="O3:O6"/>
    <mergeCell ref="H4:H6"/>
    <mergeCell ref="I4:L4"/>
    <mergeCell ref="I5:I6"/>
    <mergeCell ref="J5:J6"/>
    <mergeCell ref="R4:S4"/>
    <mergeCell ref="P3:V3"/>
    <mergeCell ref="F3:F6"/>
    <mergeCell ref="K5:K6"/>
    <mergeCell ref="L5:L6"/>
    <mergeCell ref="Z3:AC3"/>
    <mergeCell ref="C3:E3"/>
    <mergeCell ref="AB4:AB6"/>
    <mergeCell ref="H3:N3"/>
    <mergeCell ref="N4:N6"/>
  </mergeCells>
  <dataValidations count="1">
    <dataValidation type="list" allowBlank="1" showInputMessage="1" showErrorMessage="1" sqref="B78:B87 B8:B25 B48:B54 B27:B37 B39:B46 B56:B69 B71:B76 B89:B100" xr:uid="{00000000-0002-0000-0600-000000000000}">
      <formula1>$B$4:$B$6</formula1>
    </dataValidation>
  </dataValidations>
  <pageMargins left="0.70866141732283505" right="0.70866141732283505" top="0.70866141732283505" bottom="0.70866141732283505" header="0.31496062992126" footer="0.31496062992126"/>
  <pageSetup paperSize="9" scale="70" fitToHeight="0" orientation="landscape" r:id="rId1"/>
  <headerFooter>
    <oddFooter>&amp;C&amp;A&amp;R&amp;P</oddFooter>
  </headerFooter>
  <ignoredErrors>
    <ignoredError sqref="AB36 AB42:AC42 AB40:AB41 AB87:AC87 AB65:AC65 AB11:AC11 AB33 AB74 AB93 AC56 AC54 AC49:AC50 AC29 AC22 AC14:AC15 AC9:AC10 AB24 AB66:AB67 AB8 AB21 AB81:AB82 AB78 AC71 AC66 AC59" numberStoredAsText="1"/>
    <ignoredError sqref="M10:M11 M13 M17 M21:M22 M25 M27:M28 M30 M32:M34 M42 M45 M53:M54 M57 M61 M65 M67:M68 M73:M76 M79:M80 M83:M84 M87 M89 M91 M94:M95 M97:M99" formulaRange="1"/>
    <ignoredError sqref="AB4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19"/>
  <sheetViews>
    <sheetView zoomScaleNormal="100" zoomScaleSheetLayoutView="50" zoomScalePageLayoutView="70" workbookViewId="0">
      <pane ySplit="6" topLeftCell="A7" activePane="bottomLeft" state="frozen"/>
      <selection activeCell="D230" sqref="D230"/>
      <selection pane="bottomLeft" sqref="A1:M1"/>
    </sheetView>
  </sheetViews>
  <sheetFormatPr baseColWidth="10" defaultColWidth="8.83203125" defaultRowHeight="15"/>
  <cols>
    <col min="1" max="1" width="24.83203125" style="3" customWidth="1"/>
    <col min="2" max="2" width="37.83203125" style="3" customWidth="1"/>
    <col min="3" max="3" width="5.5" style="3" customWidth="1"/>
    <col min="4" max="4" width="4.5" style="60" customWidth="1"/>
    <col min="5" max="5" width="5.5" style="61" customWidth="1"/>
    <col min="6" max="7" width="16.83203125" style="229" customWidth="1"/>
    <col min="8" max="8" width="13.83203125" style="222" customWidth="1"/>
    <col min="9" max="9" width="15.83203125" style="224" customWidth="1"/>
    <col min="10" max="10" width="13.83203125" style="224" customWidth="1"/>
    <col min="11" max="12" width="12.5" style="62" customWidth="1"/>
    <col min="13" max="13" width="18.83203125" customWidth="1"/>
    <col min="14" max="14" width="11" style="198" bestFit="1" customWidth="1"/>
  </cols>
  <sheetData>
    <row r="1" spans="1:14" s="1" customFormat="1" ht="30" customHeight="1">
      <c r="A1" s="265" t="s">
        <v>495</v>
      </c>
      <c r="B1" s="265"/>
      <c r="C1" s="265"/>
      <c r="D1" s="265"/>
      <c r="E1" s="265"/>
      <c r="F1" s="286"/>
      <c r="G1" s="286"/>
      <c r="H1" s="265"/>
      <c r="I1" s="265"/>
      <c r="J1" s="265"/>
      <c r="K1" s="265"/>
      <c r="L1" s="265"/>
      <c r="M1" s="287"/>
      <c r="N1" s="198"/>
    </row>
    <row r="2" spans="1:14" s="1" customFormat="1" ht="16" customHeight="1">
      <c r="A2" s="288" t="s">
        <v>670</v>
      </c>
      <c r="B2" s="288"/>
      <c r="C2" s="288"/>
      <c r="D2" s="288"/>
      <c r="E2" s="288"/>
      <c r="F2" s="289"/>
      <c r="G2" s="289"/>
      <c r="H2" s="288"/>
      <c r="I2" s="288"/>
      <c r="J2" s="288"/>
      <c r="K2" s="288"/>
      <c r="L2" s="288"/>
      <c r="M2" s="290"/>
      <c r="N2" s="198"/>
    </row>
    <row r="3" spans="1:14" s="1" customFormat="1" ht="97" customHeight="1">
      <c r="A3" s="264" t="s">
        <v>655</v>
      </c>
      <c r="B3" s="105" t="str">
        <f>'Оценка (раздел 1)'!I3</f>
        <v>1.5 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v>
      </c>
      <c r="C3" s="275" t="s">
        <v>119</v>
      </c>
      <c r="D3" s="263"/>
      <c r="E3" s="263"/>
      <c r="F3" s="263" t="s">
        <v>637</v>
      </c>
      <c r="G3" s="263" t="s">
        <v>185</v>
      </c>
      <c r="H3" s="263" t="s">
        <v>183</v>
      </c>
      <c r="I3" s="285" t="s">
        <v>184</v>
      </c>
      <c r="J3" s="285" t="s">
        <v>233</v>
      </c>
      <c r="K3" s="276" t="s">
        <v>439</v>
      </c>
      <c r="L3" s="263"/>
      <c r="M3" s="291" t="s">
        <v>135</v>
      </c>
      <c r="N3" s="198"/>
    </row>
    <row r="4" spans="1:14" ht="15" customHeight="1">
      <c r="A4" s="264"/>
      <c r="B4" s="69" t="str">
        <f>'Методика (раздел 1)'!B34</f>
        <v>75 – 100 %</v>
      </c>
      <c r="C4" s="292" t="s">
        <v>89</v>
      </c>
      <c r="D4" s="292" t="s">
        <v>165</v>
      </c>
      <c r="E4" s="293" t="s">
        <v>88</v>
      </c>
      <c r="F4" s="263"/>
      <c r="G4" s="263"/>
      <c r="H4" s="263"/>
      <c r="I4" s="285"/>
      <c r="J4" s="285"/>
      <c r="K4" s="276" t="s">
        <v>131</v>
      </c>
      <c r="L4" s="276" t="s">
        <v>132</v>
      </c>
      <c r="M4" s="263"/>
    </row>
    <row r="5" spans="1:14" ht="15" customHeight="1">
      <c r="A5" s="264"/>
      <c r="B5" s="69" t="str">
        <f>'Методика (раздел 1)'!B35</f>
        <v>50 – 74,9 %</v>
      </c>
      <c r="C5" s="263"/>
      <c r="D5" s="263"/>
      <c r="E5" s="262"/>
      <c r="F5" s="263"/>
      <c r="G5" s="263"/>
      <c r="H5" s="263"/>
      <c r="I5" s="285"/>
      <c r="J5" s="285"/>
      <c r="K5" s="276"/>
      <c r="L5" s="276"/>
      <c r="M5" s="263"/>
    </row>
    <row r="6" spans="1:14" ht="15" customHeight="1">
      <c r="A6" s="264"/>
      <c r="B6" s="41" t="str">
        <f>'Методика (раздел 1)'!B36</f>
        <v>Менее 50 % или расчет показателя затруднен</v>
      </c>
      <c r="C6" s="263"/>
      <c r="D6" s="263"/>
      <c r="E6" s="262"/>
      <c r="F6" s="263"/>
      <c r="G6" s="263"/>
      <c r="H6" s="263"/>
      <c r="I6" s="285"/>
      <c r="J6" s="285"/>
      <c r="K6" s="276"/>
      <c r="L6" s="276"/>
      <c r="M6" s="263"/>
    </row>
    <row r="7" spans="1:14" ht="15" customHeight="1">
      <c r="A7" s="84" t="s">
        <v>0</v>
      </c>
      <c r="B7" s="86"/>
      <c r="C7" s="86"/>
      <c r="D7" s="89"/>
      <c r="E7" s="143"/>
      <c r="F7" s="188"/>
      <c r="G7" s="188"/>
      <c r="H7" s="97"/>
      <c r="I7" s="147"/>
      <c r="J7" s="147"/>
      <c r="K7" s="42"/>
      <c r="L7" s="45"/>
      <c r="M7" s="97"/>
    </row>
    <row r="8" spans="1:14" s="33" customFormat="1" ht="15" customHeight="1">
      <c r="A8" s="107" t="s">
        <v>1</v>
      </c>
      <c r="B8" s="50" t="s">
        <v>426</v>
      </c>
      <c r="C8" s="47">
        <f>IF(B8="75 – 100 %",2,(IF(B8="50 – 74,9 %",1,0)))</f>
        <v>2</v>
      </c>
      <c r="D8" s="68">
        <v>0.5</v>
      </c>
      <c r="E8" s="48">
        <f>C8*(1-D8)</f>
        <v>1</v>
      </c>
      <c r="F8" s="51">
        <f>'1.4'!J8</f>
        <v>8889709.8000000007</v>
      </c>
      <c r="G8" s="51">
        <f>17971.2+3600+2093+66377+3340+289342+412262.6+801637+296985+207197.7+3705568.2+65613+37487.1+14803+11300+495062.1+9540.5+144326.9+510242.4+5519.1+7243.9+19235+479748.1+28682.8+8333.4+88247.8+64036.8+403877.3+37069.8+32822.3+147754.8</f>
        <v>8417319.7999999989</v>
      </c>
      <c r="H8" s="220">
        <f t="shared" ref="H8:H24" si="0">ROUND(G8/F8*100,1)</f>
        <v>94.7</v>
      </c>
      <c r="I8" s="53" t="s">
        <v>236</v>
      </c>
      <c r="J8" s="53" t="s">
        <v>122</v>
      </c>
      <c r="K8" s="52" t="s">
        <v>262</v>
      </c>
      <c r="L8" s="52" t="s">
        <v>451</v>
      </c>
      <c r="M8" s="57" t="s">
        <v>494</v>
      </c>
      <c r="N8" s="198" t="s">
        <v>111</v>
      </c>
    </row>
    <row r="9" spans="1:14" s="33" customFormat="1" ht="15" customHeight="1">
      <c r="A9" s="107" t="s">
        <v>2</v>
      </c>
      <c r="B9" s="50" t="s">
        <v>426</v>
      </c>
      <c r="C9" s="47">
        <f>IF(B9="75 – 100 %",2,(IF(B9="50 – 74,9 %",1,0)))</f>
        <v>2</v>
      </c>
      <c r="D9" s="68"/>
      <c r="E9" s="48">
        <f t="shared" ref="E9:E24" si="1">C9*(1-D9)</f>
        <v>2</v>
      </c>
      <c r="F9" s="51">
        <f>'1.4'!J9</f>
        <v>10828067.59914</v>
      </c>
      <c r="G9" s="51">
        <f>(260864160+57690845.6+9491390+18475184.02+14198829.79+38477758+32587071+187000000+317617475+645019596+36381437+50838616+8393500+10448438+6688000+4842873+21720320+7446262.63+1462699468.15+13944000+12500000+594648612.49+327500+31730112+27131515.15+328604770+1166130434+685337799.68+55293100+300000000+101003418.29+906676100+789085134.47+43763932.65+340000000+100000000+410659798+362548510.64+32265958+37604450.82+140000000+45195108+59079059+10189091+3727404+9142324+834123900+386915)/1000</f>
        <v>10631980.171379998</v>
      </c>
      <c r="H9" s="220">
        <f t="shared" si="0"/>
        <v>98.2</v>
      </c>
      <c r="I9" s="53" t="s">
        <v>236</v>
      </c>
      <c r="J9" s="53" t="s">
        <v>121</v>
      </c>
      <c r="K9" s="52" t="s">
        <v>258</v>
      </c>
      <c r="L9" s="52" t="s">
        <v>270</v>
      </c>
      <c r="M9" s="57" t="s">
        <v>111</v>
      </c>
      <c r="N9" s="198"/>
    </row>
    <row r="10" spans="1:14" s="33" customFormat="1" ht="15" customHeight="1">
      <c r="A10" s="107" t="s">
        <v>3</v>
      </c>
      <c r="B10" s="50" t="s">
        <v>426</v>
      </c>
      <c r="C10" s="47">
        <f>IF(B10="75 – 100 %",2,(IF(B10="50 – 74,9 %",1,0)))</f>
        <v>2</v>
      </c>
      <c r="D10" s="68"/>
      <c r="E10" s="48">
        <f t="shared" si="1"/>
        <v>2</v>
      </c>
      <c r="F10" s="51">
        <f>'1.4'!J10</f>
        <v>14552112.199999999</v>
      </c>
      <c r="G10" s="51">
        <f>5558.2+323582.5+1200000+3980.2+9911.9+111890.5+89406+10687.3+665339.1+236940.3+16239.9+7147.5+735564.8+1731.2+17206+138806.3+6792.1+3308.2+11141.8+10000+5000+25000+34040.2+128766.5+416556.4+719550.3+11020.8+698348.8+898000+68622.2+17028.8+240142.7+24602.4+2399940+269212.1+71731.4+470638.8+92048.5+61513.2+18409.7+80680.3+103622.9+876679.3+166056.8+157444.5+261795.8+534185+43957.8+10949.4+75422.4+459.9+1021+5840.4+13416.7+105559.6</f>
        <v>12712498.400000002</v>
      </c>
      <c r="H10" s="220">
        <f t="shared" si="0"/>
        <v>87.4</v>
      </c>
      <c r="I10" s="53" t="s">
        <v>236</v>
      </c>
      <c r="J10" s="53" t="s">
        <v>121</v>
      </c>
      <c r="K10" s="52" t="s">
        <v>261</v>
      </c>
      <c r="L10" s="52" t="s">
        <v>283</v>
      </c>
      <c r="M10" s="57" t="s">
        <v>111</v>
      </c>
      <c r="N10" s="198"/>
    </row>
    <row r="11" spans="1:14" ht="15" customHeight="1">
      <c r="A11" s="107" t="s">
        <v>4</v>
      </c>
      <c r="B11" s="50" t="s">
        <v>426</v>
      </c>
      <c r="C11" s="47">
        <f t="shared" ref="C11:C74" si="2">IF(B11="75 – 100 %",2,(IF(B11="50 – 74,9 %",1,0)))</f>
        <v>2</v>
      </c>
      <c r="D11" s="68"/>
      <c r="E11" s="48">
        <f t="shared" si="1"/>
        <v>2</v>
      </c>
      <c r="F11" s="51">
        <f>'1.4'!J11</f>
        <v>31254727</v>
      </c>
      <c r="G11" s="51">
        <f>724430+17699.2+668568.8+137000+3900+1093599.3+107587.4+17325309.3+106770+2000+5000+2000+8986.1+197564.9+733267.7+63768.4+61345.7+9915.7+29897.5+5203+3000+1557+36147.8+1930.5+7532.2+830+5685+88000+4500+3082.5+800+259563+2100000+1140348.1+1252500+788727.9+64082.4+8061.6+43940+57271.5+88418.7+404053+230130.6+297200+26395.9+200000+646430.9+926462.1+418486.2+23688+210923+268347.1+26114+20648.5+149973.4+10000</f>
        <v>31118643.899999995</v>
      </c>
      <c r="H11" s="220">
        <f t="shared" si="0"/>
        <v>99.6</v>
      </c>
      <c r="I11" s="53" t="s">
        <v>236</v>
      </c>
      <c r="J11" s="53" t="s">
        <v>121</v>
      </c>
      <c r="K11" s="52" t="s">
        <v>257</v>
      </c>
      <c r="L11" s="52" t="s">
        <v>452</v>
      </c>
      <c r="M11" s="57" t="s">
        <v>111</v>
      </c>
    </row>
    <row r="12" spans="1:14" s="7" customFormat="1" ht="15" customHeight="1">
      <c r="A12" s="107" t="s">
        <v>5</v>
      </c>
      <c r="B12" s="50" t="s">
        <v>426</v>
      </c>
      <c r="C12" s="47">
        <f t="shared" si="2"/>
        <v>2</v>
      </c>
      <c r="D12" s="68"/>
      <c r="E12" s="48">
        <f t="shared" si="1"/>
        <v>2</v>
      </c>
      <c r="F12" s="51">
        <f>'1.4'!J12</f>
        <v>7671473.4480400002</v>
      </c>
      <c r="G12" s="51">
        <f>(21357070.71+25029192+67352362.32+108943263+37932879.69+504895664.31+25512165+320058394.86+644040303.04+48524100+39792648.26+1000000000+700000000+25000000+3793010.75+41164085.88+126909030.5+3606666.37+282387044+7000000+40474949.5+54460900+4000000+12381100+23967000+700000+341000+746496000+364204500+272940537.63+336228602.72)/1000</f>
        <v>5889492.4705400001</v>
      </c>
      <c r="H12" s="220">
        <f t="shared" si="0"/>
        <v>76.8</v>
      </c>
      <c r="I12" s="53" t="s">
        <v>236</v>
      </c>
      <c r="J12" s="53" t="s">
        <v>121</v>
      </c>
      <c r="K12" s="52" t="s">
        <v>259</v>
      </c>
      <c r="L12" s="52" t="s">
        <v>453</v>
      </c>
      <c r="M12" s="50" t="s">
        <v>111</v>
      </c>
      <c r="N12" s="213"/>
    </row>
    <row r="13" spans="1:14" s="30" customFormat="1" ht="15" customHeight="1">
      <c r="A13" s="107" t="s">
        <v>6</v>
      </c>
      <c r="B13" s="50" t="s">
        <v>426</v>
      </c>
      <c r="C13" s="47">
        <f t="shared" si="2"/>
        <v>2</v>
      </c>
      <c r="D13" s="68"/>
      <c r="E13" s="48">
        <f t="shared" si="1"/>
        <v>2</v>
      </c>
      <c r="F13" s="51">
        <f>'1.4'!J13</f>
        <v>9547219.8000000007</v>
      </c>
      <c r="G13" s="51">
        <f>(57052284.39+35682206+95000000+1360000+36863600+816800580+596852500+2143168100+7098125+3820000+114089400+272718393.75+244828753.13+285002471.63+246582800+10000+10000+10000+15000000+10867000+5533000+30134200+447495426.47+55810102+289800668.73+27303133+95745417+10000+3792941+67394400+10000+1096420779.06+4965588+3500000+28877940+7303677+63802060+44123824+15884688+56121471+149771618+758729596.98+2239051+200000+3426912+3500000+21357083+20324375+502372206+200000000+1500600+1011840+16112809+30882092+258946098.72)/1000</f>
        <v>9297219.8108599987</v>
      </c>
      <c r="H13" s="220">
        <f t="shared" si="0"/>
        <v>97.4</v>
      </c>
      <c r="I13" s="53" t="s">
        <v>236</v>
      </c>
      <c r="J13" s="53" t="s">
        <v>121</v>
      </c>
      <c r="K13" s="52" t="s">
        <v>260</v>
      </c>
      <c r="L13" s="52" t="s">
        <v>454</v>
      </c>
      <c r="M13" s="50" t="s">
        <v>111</v>
      </c>
      <c r="N13" s="198"/>
    </row>
    <row r="14" spans="1:14" ht="15" customHeight="1">
      <c r="A14" s="107" t="s">
        <v>7</v>
      </c>
      <c r="B14" s="50" t="s">
        <v>426</v>
      </c>
      <c r="C14" s="47">
        <f t="shared" si="2"/>
        <v>2</v>
      </c>
      <c r="D14" s="68"/>
      <c r="E14" s="48">
        <f t="shared" si="1"/>
        <v>2</v>
      </c>
      <c r="F14" s="51">
        <f>'1.4'!J14</f>
        <v>4435957.0999999996</v>
      </c>
      <c r="G14" s="51">
        <f>369971.8+26729.3+1592.3+206010.8+472298+44685.5+22526.3+1224.9+500+1111.8+1500+16141.3+3301.7+27338.2+196255.1+45733.8+7999.8+1178697.6+75000+37439.3+520770.7+10000+64629.8+186714.3+693300.9+3679.1+9000+150+6856+4867</f>
        <v>4236025.3</v>
      </c>
      <c r="H14" s="220">
        <f t="shared" si="0"/>
        <v>95.5</v>
      </c>
      <c r="I14" s="53" t="s">
        <v>236</v>
      </c>
      <c r="J14" s="53" t="s">
        <v>121</v>
      </c>
      <c r="K14" s="52" t="s">
        <v>272</v>
      </c>
      <c r="L14" s="52" t="s">
        <v>455</v>
      </c>
      <c r="M14" s="50" t="s">
        <v>111</v>
      </c>
    </row>
    <row r="15" spans="1:14" ht="15" customHeight="1">
      <c r="A15" s="107" t="s">
        <v>8</v>
      </c>
      <c r="B15" s="50" t="s">
        <v>426</v>
      </c>
      <c r="C15" s="47">
        <f t="shared" si="2"/>
        <v>2</v>
      </c>
      <c r="D15" s="68"/>
      <c r="E15" s="48">
        <f t="shared" si="1"/>
        <v>2</v>
      </c>
      <c r="F15" s="51">
        <f>'1.4'!J15</f>
        <v>9038902.0649999995</v>
      </c>
      <c r="G15" s="51">
        <f>(349210780+1400000+54090800+296413164+70244300+3902041+172282373+42278158+131032240+263161297+3971955+283222056+130012401+67271882+1576992462+22322788+77707782+13906531+134591762+3000000+5543004+27778454+514518241+306819311+399818690+71427953+20324388+273063052+24066633+105490882+2032414862+209947275+40035518)/1000</f>
        <v>7728263.0350000001</v>
      </c>
      <c r="H15" s="220">
        <f t="shared" si="0"/>
        <v>85.5</v>
      </c>
      <c r="I15" s="53" t="s">
        <v>236</v>
      </c>
      <c r="J15" s="53" t="s">
        <v>121</v>
      </c>
      <c r="K15" s="52" t="s">
        <v>262</v>
      </c>
      <c r="L15" s="52" t="s">
        <v>456</v>
      </c>
      <c r="M15" s="57" t="s">
        <v>111</v>
      </c>
    </row>
    <row r="16" spans="1:14" s="30" customFormat="1" ht="15" customHeight="1">
      <c r="A16" s="107" t="s">
        <v>9</v>
      </c>
      <c r="B16" s="50" t="s">
        <v>426</v>
      </c>
      <c r="C16" s="47">
        <f t="shared" si="2"/>
        <v>2</v>
      </c>
      <c r="D16" s="68"/>
      <c r="E16" s="48">
        <f t="shared" si="1"/>
        <v>2</v>
      </c>
      <c r="F16" s="51">
        <f>'1.4'!J16</f>
        <v>8008405.0508599998</v>
      </c>
      <c r="G16" s="51">
        <f>(17900000+126471041.45+468526081.58+191129252.18+14700000+3022357763.41-54209157.89+15554600+146216000+19696275.68+2962066263.4-38670204.27+200029100+15364000+660560146.85+147834526.31-172315.79)/1000</f>
        <v>7915353.3729099995</v>
      </c>
      <c r="H16" s="220">
        <f t="shared" si="0"/>
        <v>98.8</v>
      </c>
      <c r="I16" s="53" t="s">
        <v>236</v>
      </c>
      <c r="J16" s="53" t="s">
        <v>121</v>
      </c>
      <c r="K16" s="52" t="s">
        <v>263</v>
      </c>
      <c r="L16" s="52" t="s">
        <v>271</v>
      </c>
      <c r="M16" s="57" t="s">
        <v>111</v>
      </c>
      <c r="N16" s="198"/>
    </row>
    <row r="17" spans="1:14" s="30" customFormat="1" ht="15" customHeight="1">
      <c r="A17" s="107" t="s">
        <v>10</v>
      </c>
      <c r="B17" s="50" t="s">
        <v>426</v>
      </c>
      <c r="C17" s="47">
        <f t="shared" si="2"/>
        <v>2</v>
      </c>
      <c r="D17" s="68"/>
      <c r="E17" s="48">
        <f t="shared" si="1"/>
        <v>2</v>
      </c>
      <c r="F17" s="51">
        <f>'1.4'!J17</f>
        <v>144889045</v>
      </c>
      <c r="G17" s="144">
        <f>44109+3501+644113+58287+35118+4215+121928+65009+99415+19589+943+24498+21924+2942158+709826+83539+147074+29786+4230+13351321+1084035+4910157+2383710+14196+303459+1055419+25688+996250+55518+108627+5430+368659+1180264+310060+15380+20000+5672+3090+3416+26107+294141+8487828+27192+18794+256253+399237+2134+307677+106828+113637+125055+19592+642143+33435+1131381+441782+227884+1997289+640053+1242868+694292+1468795+80937+357143+323810+1215050+1289159+2802010+5594374+1444256+1000000+485760+127876+26435+682675+2741511+235000+4011129+76000+918080+600000+1320434+307385+2200000+394567+69940+4081907+300000+99270+1580374+830385+5460878+9542841+7469608+659926+104629+270930+103852+2002226+21882+275947+1728346+3283777+715365+13322717+6226181+202223+7420285+143797</f>
        <v>144114887</v>
      </c>
      <c r="H17" s="220">
        <f t="shared" si="0"/>
        <v>99.5</v>
      </c>
      <c r="I17" s="53" t="s">
        <v>236</v>
      </c>
      <c r="J17" s="53" t="s">
        <v>121</v>
      </c>
      <c r="K17" s="52" t="s">
        <v>457</v>
      </c>
      <c r="L17" s="52" t="s">
        <v>261</v>
      </c>
      <c r="M17" s="219" t="s">
        <v>111</v>
      </c>
      <c r="N17" s="198"/>
    </row>
    <row r="18" spans="1:14" ht="14" customHeight="1">
      <c r="A18" s="107" t="s">
        <v>11</v>
      </c>
      <c r="B18" s="50" t="s">
        <v>426</v>
      </c>
      <c r="C18" s="47">
        <f t="shared" si="2"/>
        <v>2</v>
      </c>
      <c r="D18" s="68">
        <v>0.5</v>
      </c>
      <c r="E18" s="48">
        <f t="shared" si="1"/>
        <v>1</v>
      </c>
      <c r="F18" s="51">
        <v>5343632.8000000007</v>
      </c>
      <c r="G18" s="51">
        <f>98627+347990+14759.9+33838.4+13032.2+3000+3468.7+1030000+681603.2+400000+280188.9+87515.4+188405.4+180000+57633.1+142739.2+18716+10000+31350.8+32342.5+14759.9+10000+168887.3+225595.5+803725.7+7000+30133.4+27736+20133.2+135522.5+3501+45378.9+62049.8+42614+85714.3</f>
        <v>5337962.2</v>
      </c>
      <c r="H18" s="220">
        <f t="shared" si="0"/>
        <v>99.9</v>
      </c>
      <c r="I18" s="53" t="s">
        <v>235</v>
      </c>
      <c r="J18" s="53" t="s">
        <v>121</v>
      </c>
      <c r="K18" s="52" t="s">
        <v>264</v>
      </c>
      <c r="L18" s="52" t="s">
        <v>458</v>
      </c>
      <c r="M18" s="57" t="s">
        <v>290</v>
      </c>
      <c r="N18" s="198" t="s">
        <v>111</v>
      </c>
    </row>
    <row r="19" spans="1:14" s="7" customFormat="1" ht="15" customHeight="1">
      <c r="A19" s="107" t="s">
        <v>12</v>
      </c>
      <c r="B19" s="50" t="s">
        <v>428</v>
      </c>
      <c r="C19" s="47">
        <f t="shared" si="2"/>
        <v>0</v>
      </c>
      <c r="D19" s="68"/>
      <c r="E19" s="48">
        <f t="shared" si="1"/>
        <v>0</v>
      </c>
      <c r="F19" s="51" t="s">
        <v>618</v>
      </c>
      <c r="G19" s="51">
        <f>(258482900+40000000+781633846+4131000+83809896.91+955311477.36+478529734.97+40978500+24277180.95+810424962.84+3334454.54+204545.46+535418807.76+81842695+50219452.8)/1000</f>
        <v>4148599.4545900002</v>
      </c>
      <c r="H19" s="220" t="s">
        <v>111</v>
      </c>
      <c r="I19" s="53" t="s">
        <v>617</v>
      </c>
      <c r="J19" s="53" t="s">
        <v>121</v>
      </c>
      <c r="K19" s="52" t="s">
        <v>265</v>
      </c>
      <c r="L19" s="52" t="s">
        <v>628</v>
      </c>
      <c r="M19" s="57" t="s">
        <v>619</v>
      </c>
      <c r="N19" s="217" t="s">
        <v>111</v>
      </c>
    </row>
    <row r="20" spans="1:14" ht="15" customHeight="1">
      <c r="A20" s="107" t="s">
        <v>13</v>
      </c>
      <c r="B20" s="50" t="s">
        <v>426</v>
      </c>
      <c r="C20" s="47">
        <f t="shared" si="2"/>
        <v>2</v>
      </c>
      <c r="D20" s="68"/>
      <c r="E20" s="48">
        <f t="shared" si="1"/>
        <v>2</v>
      </c>
      <c r="F20" s="51">
        <f>'1.4'!J20</f>
        <v>5266734.9000000004</v>
      </c>
      <c r="G20" s="51">
        <f>5252883686.5/1000</f>
        <v>5252883.6864999998</v>
      </c>
      <c r="H20" s="220">
        <f t="shared" si="0"/>
        <v>99.7</v>
      </c>
      <c r="I20" s="53" t="s">
        <v>236</v>
      </c>
      <c r="J20" s="53" t="s">
        <v>121</v>
      </c>
      <c r="K20" s="52" t="s">
        <v>459</v>
      </c>
      <c r="L20" s="52" t="s">
        <v>627</v>
      </c>
      <c r="M20" s="57" t="s">
        <v>111</v>
      </c>
    </row>
    <row r="21" spans="1:14" s="7" customFormat="1" ht="15" customHeight="1">
      <c r="A21" s="107" t="s">
        <v>14</v>
      </c>
      <c r="B21" s="50" t="s">
        <v>426</v>
      </c>
      <c r="C21" s="47">
        <f t="shared" si="2"/>
        <v>2</v>
      </c>
      <c r="D21" s="68"/>
      <c r="E21" s="48">
        <f t="shared" si="1"/>
        <v>2</v>
      </c>
      <c r="F21" s="51">
        <f>'1.4'!J21</f>
        <v>7074526.0999999996</v>
      </c>
      <c r="G21" s="51">
        <f>40+149762.3+136643.6+2669+12642.3+435427.7+73355+1259.1+1630.4+8021.3+602662.1+87581+21357+257.8+10420+186317+250775.7+299982.6+3436.8+713772.9+26053.3+572927.5+33500+92995.4+1092.3+1000+2497.5+19207.6+15744.4+21293.3+5257.1+17355.7+44290+109471.1+153878.5+330000+1027415.3+70948.6+231587.3+200000+180000+8235.6+21091.3+31000+22066.3+37961.3+22560.4+25000+258821.1+45000+15000+28252.5+3500+205335.4+56990.1</f>
        <v>6935342.4999999972</v>
      </c>
      <c r="H21" s="220">
        <f t="shared" si="0"/>
        <v>98</v>
      </c>
      <c r="I21" s="53" t="s">
        <v>236</v>
      </c>
      <c r="J21" s="53" t="s">
        <v>121</v>
      </c>
      <c r="K21" s="52" t="s">
        <v>208</v>
      </c>
      <c r="L21" s="57" t="s">
        <v>460</v>
      </c>
      <c r="M21" s="57" t="s">
        <v>111</v>
      </c>
      <c r="N21" s="198"/>
    </row>
    <row r="22" spans="1:14" s="30" customFormat="1" ht="15" customHeight="1">
      <c r="A22" s="107" t="s">
        <v>15</v>
      </c>
      <c r="B22" s="50" t="s">
        <v>427</v>
      </c>
      <c r="C22" s="47">
        <f t="shared" si="2"/>
        <v>1</v>
      </c>
      <c r="D22" s="68"/>
      <c r="E22" s="48">
        <f t="shared" si="1"/>
        <v>1</v>
      </c>
      <c r="F22" s="51">
        <f>'1.4'!J22</f>
        <v>8317556.5</v>
      </c>
      <c r="G22" s="144">
        <f>40000+242639.6+9327+250361+46589.8+45804.4+1310444.7+225405.4+85024.2+955408+7945.3+9551.8+21518+54927.1+77074+630724.1+345607.1+97175.2+4981.1</f>
        <v>4460507.8</v>
      </c>
      <c r="H22" s="220">
        <f t="shared" si="0"/>
        <v>53.6</v>
      </c>
      <c r="I22" s="53" t="s">
        <v>236</v>
      </c>
      <c r="J22" s="53" t="s">
        <v>121</v>
      </c>
      <c r="K22" s="52" t="s">
        <v>269</v>
      </c>
      <c r="L22" s="52" t="s">
        <v>461</v>
      </c>
      <c r="M22" s="57" t="s">
        <v>111</v>
      </c>
      <c r="N22" s="198"/>
    </row>
    <row r="23" spans="1:14" s="30" customFormat="1" ht="14.5" customHeight="1">
      <c r="A23" s="107" t="s">
        <v>16</v>
      </c>
      <c r="B23" s="50" t="s">
        <v>426</v>
      </c>
      <c r="C23" s="47">
        <f t="shared" si="2"/>
        <v>2</v>
      </c>
      <c r="D23" s="68">
        <v>0.5</v>
      </c>
      <c r="E23" s="48">
        <f t="shared" si="1"/>
        <v>1</v>
      </c>
      <c r="F23" s="51">
        <f>'1.4'!J23</f>
        <v>7901469.04904</v>
      </c>
      <c r="G23" s="51">
        <f>(24477900+159577236.79+1267397.26+752056542.55+11499041.1+110000000+17400350.84+249772030+6130424.68+22219315.07+549399980+80000000+328091200+80000000+400000000+6452900+268382252.34+70000000+50992191.78+429474578.11+15825210+43204000+11985161.57+492765353.86+543242728+100000000+63718493.15+38266849.32+438900870+129610619.15+20704931.5+231616979.17+108244844.02+10000000+1123287.67+11458333.33+114924800+249208300+72439200+117163494.05+301182175.22+3501301.44+117012097.4+408771041.67+316491766.4)/1000</f>
        <v>7578555.1774399998</v>
      </c>
      <c r="H23" s="220">
        <f t="shared" si="0"/>
        <v>95.9</v>
      </c>
      <c r="I23" s="53" t="s">
        <v>236</v>
      </c>
      <c r="J23" s="53" t="s">
        <v>122</v>
      </c>
      <c r="K23" s="52" t="s">
        <v>268</v>
      </c>
      <c r="L23" s="52" t="s">
        <v>462</v>
      </c>
      <c r="M23" s="57" t="s">
        <v>254</v>
      </c>
      <c r="N23" s="198" t="s">
        <v>111</v>
      </c>
    </row>
    <row r="24" spans="1:14" s="7" customFormat="1" ht="15" customHeight="1">
      <c r="A24" s="107" t="s">
        <v>17</v>
      </c>
      <c r="B24" s="50" t="s">
        <v>426</v>
      </c>
      <c r="C24" s="47">
        <f t="shared" si="2"/>
        <v>2</v>
      </c>
      <c r="D24" s="68"/>
      <c r="E24" s="48">
        <f t="shared" si="1"/>
        <v>2</v>
      </c>
      <c r="F24" s="51">
        <f>'1.4'!J24</f>
        <v>10756323.913000001</v>
      </c>
      <c r="G24" s="51">
        <f>10451203445/1000</f>
        <v>10451203.445</v>
      </c>
      <c r="H24" s="220">
        <f t="shared" si="0"/>
        <v>97.2</v>
      </c>
      <c r="I24" s="53" t="s">
        <v>236</v>
      </c>
      <c r="J24" s="53" t="s">
        <v>121</v>
      </c>
      <c r="K24" s="52" t="s">
        <v>269</v>
      </c>
      <c r="L24" s="52" t="s">
        <v>257</v>
      </c>
      <c r="M24" s="57" t="s">
        <v>111</v>
      </c>
      <c r="N24" s="198"/>
    </row>
    <row r="25" spans="1:14" ht="15" customHeight="1">
      <c r="A25" s="107" t="s">
        <v>545</v>
      </c>
      <c r="B25" s="46" t="s">
        <v>292</v>
      </c>
      <c r="C25" s="47">
        <f t="shared" si="2"/>
        <v>0</v>
      </c>
      <c r="D25" s="47"/>
      <c r="E25" s="145" t="s">
        <v>187</v>
      </c>
      <c r="F25" s="146" t="s">
        <v>111</v>
      </c>
      <c r="G25" s="146" t="s">
        <v>111</v>
      </c>
      <c r="H25" s="220" t="s">
        <v>111</v>
      </c>
      <c r="I25" s="57" t="s">
        <v>111</v>
      </c>
      <c r="J25" s="53" t="s">
        <v>111</v>
      </c>
      <c r="K25" s="57" t="s">
        <v>111</v>
      </c>
      <c r="L25" s="57" t="s">
        <v>111</v>
      </c>
      <c r="M25" s="57" t="s">
        <v>111</v>
      </c>
    </row>
    <row r="26" spans="1:14" s="30" customFormat="1" ht="15" customHeight="1">
      <c r="A26" s="120" t="s">
        <v>18</v>
      </c>
      <c r="B26" s="89"/>
      <c r="C26" s="89"/>
      <c r="D26" s="89"/>
      <c r="E26" s="89"/>
      <c r="F26" s="228"/>
      <c r="G26" s="228"/>
      <c r="H26" s="86"/>
      <c r="I26" s="89"/>
      <c r="J26" s="89"/>
      <c r="K26" s="148"/>
      <c r="L26" s="148"/>
      <c r="M26" s="149"/>
      <c r="N26" s="198"/>
    </row>
    <row r="27" spans="1:14" ht="15" customHeight="1">
      <c r="A27" s="107" t="s">
        <v>19</v>
      </c>
      <c r="B27" s="50" t="s">
        <v>426</v>
      </c>
      <c r="C27" s="47">
        <f t="shared" si="2"/>
        <v>2</v>
      </c>
      <c r="D27" s="68"/>
      <c r="E27" s="48">
        <f t="shared" ref="E27:E37" si="3">C27*(1-D27)</f>
        <v>2</v>
      </c>
      <c r="F27" s="51">
        <f>'1.4'!J27</f>
        <v>5579108.2000000002</v>
      </c>
      <c r="G27" s="51">
        <f>74819+403690.4+13838.38384+29326+1497385.4+32408.2+1784.9+227491.3+177584.7+8462.12121+267363.3+20122.3+50000+162294.34+158585.1+797096.6+8801.3+35162.2+72448.9+80517.8+14500+23338.3+7200+57751.9+4725+120207+2129.9+1000000+20023.4+24806.2+41473.5+1800+2326.7+3300+21357.1+45971.6+30000+10500+1310+4000</f>
        <v>5555902.8450499997</v>
      </c>
      <c r="H27" s="220">
        <f t="shared" ref="H27:H35" si="4">ROUND(G27/F27*100,1)</f>
        <v>99.6</v>
      </c>
      <c r="I27" s="53" t="s">
        <v>236</v>
      </c>
      <c r="J27" s="53" t="s">
        <v>121</v>
      </c>
      <c r="K27" s="52" t="s">
        <v>258</v>
      </c>
      <c r="L27" s="57" t="s">
        <v>463</v>
      </c>
      <c r="M27" s="57" t="s">
        <v>111</v>
      </c>
    </row>
    <row r="28" spans="1:14" s="7" customFormat="1" ht="15" customHeight="1">
      <c r="A28" s="107" t="s">
        <v>20</v>
      </c>
      <c r="B28" s="50" t="s">
        <v>426</v>
      </c>
      <c r="C28" s="47">
        <f t="shared" si="2"/>
        <v>2</v>
      </c>
      <c r="D28" s="68"/>
      <c r="E28" s="48">
        <f t="shared" si="3"/>
        <v>2</v>
      </c>
      <c r="F28" s="51">
        <f>'1.4'!J28</f>
        <v>9034133.4000000004</v>
      </c>
      <c r="G28" s="51">
        <f>51703+818070.7+1203953.8+38998.6+637502.9+862961.1+571219+48735.6+5929.3+62648.8+181528.8+390000+39223.8+6700+10131.8+6919.2+261677.4+79570.4+71077.8+590992.8+43852.2+1130224.7+389891.3+112000+32015+596503.5+90886+113233.7+207936.3+1500</f>
        <v>8657587.5</v>
      </c>
      <c r="H28" s="220">
        <f t="shared" si="4"/>
        <v>95.8</v>
      </c>
      <c r="I28" s="53" t="s">
        <v>236</v>
      </c>
      <c r="J28" s="53" t="s">
        <v>121</v>
      </c>
      <c r="K28" s="52" t="s">
        <v>273</v>
      </c>
      <c r="L28" s="52" t="s">
        <v>279</v>
      </c>
      <c r="M28" s="57" t="s">
        <v>111</v>
      </c>
      <c r="N28" s="198"/>
    </row>
    <row r="29" spans="1:14" ht="15" customHeight="1">
      <c r="A29" s="107" t="s">
        <v>21</v>
      </c>
      <c r="B29" s="50" t="s">
        <v>426</v>
      </c>
      <c r="C29" s="47">
        <f t="shared" si="2"/>
        <v>2</v>
      </c>
      <c r="D29" s="68"/>
      <c r="E29" s="48">
        <f t="shared" si="3"/>
        <v>2</v>
      </c>
      <c r="F29" s="51">
        <f>'1.4'!J29</f>
        <v>13250562.70383</v>
      </c>
      <c r="G29" s="51">
        <f>(6134149066+5244777.78+3500000.91+760226002.98+635100+6016724.4+1981500+481920663.68+5528534+3733322799.48+79891029+40196060+24001444+12444800)/1000</f>
        <v>11289058.50223</v>
      </c>
      <c r="H29" s="220">
        <f t="shared" si="4"/>
        <v>85.2</v>
      </c>
      <c r="I29" s="53" t="s">
        <v>236</v>
      </c>
      <c r="J29" s="53" t="s">
        <v>121</v>
      </c>
      <c r="K29" s="52" t="s">
        <v>262</v>
      </c>
      <c r="L29" s="52" t="s">
        <v>464</v>
      </c>
      <c r="M29" s="57" t="s">
        <v>111</v>
      </c>
    </row>
    <row r="30" spans="1:14" ht="15" customHeight="1">
      <c r="A30" s="107" t="s">
        <v>22</v>
      </c>
      <c r="B30" s="50" t="s">
        <v>426</v>
      </c>
      <c r="C30" s="47">
        <f t="shared" si="2"/>
        <v>2</v>
      </c>
      <c r="D30" s="68"/>
      <c r="E30" s="48">
        <f t="shared" si="3"/>
        <v>2</v>
      </c>
      <c r="F30" s="51">
        <f>'1.4'!J30</f>
        <v>21112480.300000001</v>
      </c>
      <c r="G30" s="51">
        <f>351098.9+147531.9+10400+24048.7+796224.8+249473.7+93796.3+19629.5+169400.6+8388.6+3090.4+131071.8+21001.4+15054.8+397938.8+115520.8+123112.6+186770.4+1242.7+63229.6+52082.3+37962+649350.7+24889.4+10000+150347+101298.7+1200+26400+6094.6+26487.5+3300+1172716.6+71789.8+3164616.6+616000+85840.3+89699.4+1000+760200+119567.5+44583.3+104000+64397.6+6896.6+35793.3+559601+3889563.7+422805.4+20590+21000+11038.2+38961+32600+170391.4+223119.2+271409.2+225000+1473603.3+36124.1+10500.4+32148.8+3400+21266+1400+8694.5+63741.4+5946.2+216830.6+102371+9088.6+19908+21000+5988.1+51995.4+35581+1362538.1+133532.6+441120.9+195250+79212+60259.7+11401.6+17871.6</f>
        <v>20661392.500000007</v>
      </c>
      <c r="H30" s="220">
        <f t="shared" si="4"/>
        <v>97.9</v>
      </c>
      <c r="I30" s="53" t="s">
        <v>236</v>
      </c>
      <c r="J30" s="53" t="s">
        <v>121</v>
      </c>
      <c r="K30" s="52" t="s">
        <v>265</v>
      </c>
      <c r="L30" s="52" t="s">
        <v>261</v>
      </c>
      <c r="M30" s="150" t="s">
        <v>111</v>
      </c>
    </row>
    <row r="31" spans="1:14" ht="15" customHeight="1">
      <c r="A31" s="107" t="s">
        <v>23</v>
      </c>
      <c r="B31" s="50" t="s">
        <v>428</v>
      </c>
      <c r="C31" s="47">
        <f t="shared" si="2"/>
        <v>0</v>
      </c>
      <c r="D31" s="68"/>
      <c r="E31" s="48">
        <f t="shared" si="3"/>
        <v>0</v>
      </c>
      <c r="F31" s="51" t="s">
        <v>618</v>
      </c>
      <c r="G31" s="51">
        <f>8862561.768</f>
        <v>8862561.7679999992</v>
      </c>
      <c r="H31" s="220" t="s">
        <v>111</v>
      </c>
      <c r="I31" s="53" t="s">
        <v>617</v>
      </c>
      <c r="J31" s="53" t="s">
        <v>121</v>
      </c>
      <c r="K31" s="57" t="s">
        <v>266</v>
      </c>
      <c r="L31" s="52" t="s">
        <v>277</v>
      </c>
      <c r="M31" s="57" t="s">
        <v>620</v>
      </c>
      <c r="N31" s="198" t="s">
        <v>111</v>
      </c>
    </row>
    <row r="32" spans="1:14" ht="15" customHeight="1">
      <c r="A32" s="107" t="s">
        <v>24</v>
      </c>
      <c r="B32" s="50" t="s">
        <v>428</v>
      </c>
      <c r="C32" s="47">
        <f t="shared" si="2"/>
        <v>0</v>
      </c>
      <c r="D32" s="68"/>
      <c r="E32" s="48">
        <f t="shared" si="3"/>
        <v>0</v>
      </c>
      <c r="F32" s="51">
        <f>'1.4'!J32</f>
        <v>13751129</v>
      </c>
      <c r="G32" s="51">
        <f>69649.8+209678.6+27058.5+84261.8+94135.4+20622.5+7087.6+582.3+55203.6+106951.4+18592.8+300000+207166.8+200000+144055.1+32490+100000+167344+8454+1734+2085.1+322795+11250+83962.2+757738.9+80000+1206.2+34194.4+4942.2+17657+3000+36400+17400+696.5+479401.9+93335.5+250000+210000+290655+28839.6+9035+25000</f>
        <v>4614662.7</v>
      </c>
      <c r="H32" s="220">
        <f t="shared" si="4"/>
        <v>33.6</v>
      </c>
      <c r="I32" s="53" t="s">
        <v>236</v>
      </c>
      <c r="J32" s="53" t="s">
        <v>121</v>
      </c>
      <c r="K32" s="52" t="s">
        <v>269</v>
      </c>
      <c r="L32" s="52" t="s">
        <v>272</v>
      </c>
      <c r="M32" s="57" t="s">
        <v>256</v>
      </c>
      <c r="N32" s="198" t="s">
        <v>111</v>
      </c>
    </row>
    <row r="33" spans="1:14" ht="15" customHeight="1">
      <c r="A33" s="107" t="s">
        <v>25</v>
      </c>
      <c r="B33" s="50" t="s">
        <v>426</v>
      </c>
      <c r="C33" s="47">
        <f t="shared" si="2"/>
        <v>2</v>
      </c>
      <c r="D33" s="68">
        <v>0.5</v>
      </c>
      <c r="E33" s="48">
        <f t="shared" si="3"/>
        <v>1</v>
      </c>
      <c r="F33" s="51">
        <f>'1.4'!J33</f>
        <v>12988434.6</v>
      </c>
      <c r="G33" s="163">
        <v>11674186.925580001</v>
      </c>
      <c r="H33" s="220">
        <f t="shared" si="4"/>
        <v>89.9</v>
      </c>
      <c r="I33" s="53" t="s">
        <v>236</v>
      </c>
      <c r="J33" s="53" t="s">
        <v>122</v>
      </c>
      <c r="K33" s="52" t="s">
        <v>465</v>
      </c>
      <c r="L33" s="52" t="s">
        <v>279</v>
      </c>
      <c r="M33" s="57" t="s">
        <v>656</v>
      </c>
      <c r="N33" s="198" t="s">
        <v>111</v>
      </c>
    </row>
    <row r="34" spans="1:14" ht="15" customHeight="1">
      <c r="A34" s="107" t="s">
        <v>26</v>
      </c>
      <c r="B34" s="50" t="s">
        <v>426</v>
      </c>
      <c r="C34" s="47">
        <f t="shared" si="2"/>
        <v>2</v>
      </c>
      <c r="D34" s="68"/>
      <c r="E34" s="48">
        <f t="shared" si="3"/>
        <v>2</v>
      </c>
      <c r="F34" s="51">
        <f>'1.4'!J34</f>
        <v>7851039.9063900001</v>
      </c>
      <c r="G34" s="51">
        <f>961670.2+26718.3+18000+71895.7+935.4+14395.6+394718+1889159.88701+157751.55+694714+12000+97827.9+269667+7663.7+44918.1+600583.5+340087.671+144678.41289+439654.25+97883.77198+3025.06547+472.1+5776.3956+7217.32+96296.3+140187.5+3454.6+457882.423+421236.85+12563.7+48390.1+40086+35489.86+1414+83930.4+20004.57144</f>
        <v>7662350.1283900002</v>
      </c>
      <c r="H34" s="220">
        <f t="shared" si="4"/>
        <v>97.6</v>
      </c>
      <c r="I34" s="53" t="s">
        <v>236</v>
      </c>
      <c r="J34" s="53" t="s">
        <v>121</v>
      </c>
      <c r="K34" s="52" t="s">
        <v>274</v>
      </c>
      <c r="L34" s="52" t="s">
        <v>272</v>
      </c>
      <c r="M34" s="57" t="s">
        <v>111</v>
      </c>
    </row>
    <row r="35" spans="1:14" ht="15" customHeight="1">
      <c r="A35" s="107" t="s">
        <v>27</v>
      </c>
      <c r="B35" s="50" t="s">
        <v>426</v>
      </c>
      <c r="C35" s="47">
        <f t="shared" si="2"/>
        <v>2</v>
      </c>
      <c r="D35" s="68"/>
      <c r="E35" s="48">
        <f t="shared" si="3"/>
        <v>2</v>
      </c>
      <c r="F35" s="51">
        <f>'1.4'!J35</f>
        <v>7129749</v>
      </c>
      <c r="G35" s="51">
        <f>6585+325005+420909+490000+237898+195220+130260+10125+349012+1143+600+3105+1582+3300+1200+1150+8100+2000+5147+500+110852+41493+19808+6946+6215+9309+5352+38860+2000+2206+12012+7206+3482+1960535+12500+96836+3793+16849+1100+5214+5300+2886+70592+161827+2789+3000+1975+917441+5500+20000+10110+1800+5524+43531+14856+359569+307762+15072+5460+11600+180146+4400+226457+2287+130853</f>
        <v>7066146</v>
      </c>
      <c r="H35" s="220">
        <f t="shared" si="4"/>
        <v>99.1</v>
      </c>
      <c r="I35" s="53" t="s">
        <v>236</v>
      </c>
      <c r="J35" s="53" t="s">
        <v>121</v>
      </c>
      <c r="K35" s="52" t="s">
        <v>275</v>
      </c>
      <c r="L35" s="52" t="s">
        <v>278</v>
      </c>
      <c r="M35" s="57" t="s">
        <v>111</v>
      </c>
    </row>
    <row r="36" spans="1:14" ht="15" customHeight="1">
      <c r="A36" s="107" t="s">
        <v>546</v>
      </c>
      <c r="B36" s="46" t="s">
        <v>292</v>
      </c>
      <c r="C36" s="47">
        <f t="shared" si="2"/>
        <v>0</v>
      </c>
      <c r="D36" s="47"/>
      <c r="E36" s="145" t="s">
        <v>187</v>
      </c>
      <c r="F36" s="146" t="s">
        <v>111</v>
      </c>
      <c r="G36" s="146" t="s">
        <v>111</v>
      </c>
      <c r="H36" s="220" t="s">
        <v>111</v>
      </c>
      <c r="I36" s="57" t="s">
        <v>111</v>
      </c>
      <c r="J36" s="57" t="s">
        <v>111</v>
      </c>
      <c r="K36" s="57" t="s">
        <v>111</v>
      </c>
      <c r="L36" s="57" t="s">
        <v>111</v>
      </c>
      <c r="M36" s="57" t="s">
        <v>111</v>
      </c>
    </row>
    <row r="37" spans="1:14" ht="15" customHeight="1">
      <c r="A37" s="107" t="s">
        <v>28</v>
      </c>
      <c r="B37" s="50" t="s">
        <v>426</v>
      </c>
      <c r="C37" s="47">
        <f t="shared" si="2"/>
        <v>2</v>
      </c>
      <c r="D37" s="68"/>
      <c r="E37" s="48">
        <f t="shared" si="3"/>
        <v>2</v>
      </c>
      <c r="F37" s="51">
        <f>'1.4'!J37</f>
        <v>854603.2</v>
      </c>
      <c r="G37" s="51">
        <v>854603.2</v>
      </c>
      <c r="H37" s="220">
        <f>ROUND(G37/F37*100,1)</f>
        <v>100</v>
      </c>
      <c r="I37" s="53" t="s">
        <v>236</v>
      </c>
      <c r="J37" s="53" t="s">
        <v>121</v>
      </c>
      <c r="K37" s="52" t="s">
        <v>276</v>
      </c>
      <c r="L37" s="52" t="s">
        <v>267</v>
      </c>
      <c r="M37" s="57" t="s">
        <v>111</v>
      </c>
    </row>
    <row r="38" spans="1:14" s="30" customFormat="1" ht="15" customHeight="1">
      <c r="A38" s="120" t="s">
        <v>29</v>
      </c>
      <c r="B38" s="89"/>
      <c r="C38" s="89"/>
      <c r="D38" s="89"/>
      <c r="E38" s="89"/>
      <c r="F38" s="228"/>
      <c r="G38" s="228"/>
      <c r="H38" s="86"/>
      <c r="I38" s="147"/>
      <c r="J38" s="147"/>
      <c r="K38" s="148"/>
      <c r="L38" s="148"/>
      <c r="M38" s="149"/>
      <c r="N38" s="198"/>
    </row>
    <row r="39" spans="1:14" s="33" customFormat="1" ht="15" customHeight="1">
      <c r="A39" s="107" t="s">
        <v>30</v>
      </c>
      <c r="B39" s="50" t="s">
        <v>426</v>
      </c>
      <c r="C39" s="47">
        <f t="shared" si="2"/>
        <v>2</v>
      </c>
      <c r="D39" s="68"/>
      <c r="E39" s="48">
        <f t="shared" ref="E39:E45" si="5">C39*(1-D39)</f>
        <v>2</v>
      </c>
      <c r="F39" s="51">
        <v>5820431.5999999996</v>
      </c>
      <c r="G39" s="51">
        <v>5820431.5999999996</v>
      </c>
      <c r="H39" s="220">
        <f t="shared" ref="H39:H45" si="6">ROUND(G39/F39*100,1)</f>
        <v>100</v>
      </c>
      <c r="I39" s="53" t="s">
        <v>236</v>
      </c>
      <c r="J39" s="53" t="s">
        <v>121</v>
      </c>
      <c r="K39" s="52" t="s">
        <v>662</v>
      </c>
      <c r="L39" s="52" t="s">
        <v>281</v>
      </c>
      <c r="M39" s="57" t="s">
        <v>111</v>
      </c>
      <c r="N39" s="198" t="s">
        <v>111</v>
      </c>
    </row>
    <row r="40" spans="1:14" s="30" customFormat="1" ht="15" customHeight="1">
      <c r="A40" s="107" t="s">
        <v>31</v>
      </c>
      <c r="B40" s="50" t="s">
        <v>426</v>
      </c>
      <c r="C40" s="47">
        <f t="shared" si="2"/>
        <v>2</v>
      </c>
      <c r="D40" s="68"/>
      <c r="E40" s="48">
        <f t="shared" si="5"/>
        <v>2</v>
      </c>
      <c r="F40" s="51">
        <f>'1.4'!J40</f>
        <v>4491222.0999999996</v>
      </c>
      <c r="G40" s="51">
        <f>5519.1+21810.9+171791.1+18909.1+10113.9+1819956.9+500+7000+446959.8+102040.8+237650+64874.7+45486.9+8506.9+226718.7+1908.4+825098+379715.7+9918.5</f>
        <v>4404479.3999999994</v>
      </c>
      <c r="H40" s="220">
        <f t="shared" si="6"/>
        <v>98.1</v>
      </c>
      <c r="I40" s="53" t="s">
        <v>236</v>
      </c>
      <c r="J40" s="53" t="s">
        <v>121</v>
      </c>
      <c r="K40" s="52" t="s">
        <v>279</v>
      </c>
      <c r="L40" s="52" t="s">
        <v>466</v>
      </c>
      <c r="M40" s="57" t="s">
        <v>111</v>
      </c>
      <c r="N40" s="198"/>
    </row>
    <row r="41" spans="1:14" s="30" customFormat="1" ht="15" customHeight="1">
      <c r="A41" s="107" t="s">
        <v>87</v>
      </c>
      <c r="B41" s="50" t="s">
        <v>426</v>
      </c>
      <c r="C41" s="47">
        <f t="shared" si="2"/>
        <v>2</v>
      </c>
      <c r="D41" s="68"/>
      <c r="E41" s="48">
        <f t="shared" si="5"/>
        <v>2</v>
      </c>
      <c r="F41" s="51">
        <f>'1.4'!J41</f>
        <v>10443654.311479999</v>
      </c>
      <c r="G41" s="51">
        <f>(5340925339+23320162+72276948.05+133086489+142413875+18997879+525358080.81+167282768.22+265719800.75+23167510.66+1179944912.71+344362421.08+27879899+118091108.5+5358842.11+21209263.16+35008315.79+11671105.8+2233620.98+49601052.64+2173536+2993558.4+20894637.63+290406107.03+82044207.51+1000000+5943636.36+69886187.82+2800000+747074073.5+950631.58+68421052.63+32537979.8+21935757.58+37497596.5+216248166+108943636.36+87590000+52062365.52+48452766)/1000</f>
        <v>10407765.290479999</v>
      </c>
      <c r="H41" s="220">
        <f t="shared" si="6"/>
        <v>99.7</v>
      </c>
      <c r="I41" s="53" t="s">
        <v>236</v>
      </c>
      <c r="J41" s="53" t="s">
        <v>121</v>
      </c>
      <c r="K41" s="52" t="s">
        <v>280</v>
      </c>
      <c r="L41" s="52" t="s">
        <v>280</v>
      </c>
      <c r="M41" s="57" t="s">
        <v>111</v>
      </c>
      <c r="N41" s="198"/>
    </row>
    <row r="42" spans="1:14" s="30" customFormat="1" ht="15" customHeight="1">
      <c r="A42" s="107" t="s">
        <v>32</v>
      </c>
      <c r="B42" s="50" t="s">
        <v>426</v>
      </c>
      <c r="C42" s="47">
        <f t="shared" si="2"/>
        <v>2</v>
      </c>
      <c r="D42" s="68"/>
      <c r="E42" s="48">
        <f t="shared" si="5"/>
        <v>2</v>
      </c>
      <c r="F42" s="51">
        <f>'1.4'!J42</f>
        <v>85031907.700000003</v>
      </c>
      <c r="G42" s="144">
        <f>29917.3+3853053.2+313151+163101.7+954636.6+63496+1713338.4+12917.6+791987.3+10005848.5+874322.1+203212.5+30880500+24610.2+21788.9+28623+5000+736.2+250107.6+1866.8+38543+2159.7+100+41078.5+15708.3+27883.3+53474.7+129738.6+60643.7+2130663.2+4185+71712.9+40000+129229.2+70471.8+65884.2+400000+1754217.3+2932259.2+43653.2+14222.4+510+2890+145852.7+411375+450000+17890.3+881196+584135.7+1650602.6+71747.1+299741.3+44500+31734+13621377.6+33037.5+212504.7+100000+142709.5+151859.2+356745.8+629589+7216+75200+2492241.5+99833.7+18192.8+25782.7+28000+112315.2+333515+282000+380103.6+3007457.1+66623.3+17371.1+20963.6</f>
        <v>85024856.700000003</v>
      </c>
      <c r="H42" s="220">
        <f t="shared" si="6"/>
        <v>100</v>
      </c>
      <c r="I42" s="53" t="s">
        <v>236</v>
      </c>
      <c r="J42" s="53" t="s">
        <v>121</v>
      </c>
      <c r="K42" s="57" t="s">
        <v>269</v>
      </c>
      <c r="L42" s="57" t="s">
        <v>257</v>
      </c>
      <c r="M42" s="57" t="s">
        <v>111</v>
      </c>
      <c r="N42" s="198"/>
    </row>
    <row r="43" spans="1:14" ht="15" customHeight="1">
      <c r="A43" s="107" t="s">
        <v>33</v>
      </c>
      <c r="B43" s="50" t="s">
        <v>426</v>
      </c>
      <c r="C43" s="47">
        <f t="shared" si="2"/>
        <v>2</v>
      </c>
      <c r="D43" s="68"/>
      <c r="E43" s="48">
        <f t="shared" si="5"/>
        <v>2</v>
      </c>
      <c r="F43" s="51">
        <f>'1.4'!J43</f>
        <v>5797316.8999999994</v>
      </c>
      <c r="G43" s="51">
        <f>5643324.2</f>
        <v>5643324.2000000002</v>
      </c>
      <c r="H43" s="220">
        <f t="shared" si="6"/>
        <v>97.3</v>
      </c>
      <c r="I43" s="53" t="s">
        <v>236</v>
      </c>
      <c r="J43" s="53" t="s">
        <v>121</v>
      </c>
      <c r="K43" s="53" t="s">
        <v>259</v>
      </c>
      <c r="L43" s="52" t="s">
        <v>277</v>
      </c>
      <c r="M43" s="57" t="s">
        <v>111</v>
      </c>
      <c r="N43" s="218"/>
    </row>
    <row r="44" spans="1:14" ht="15" customHeight="1">
      <c r="A44" s="107" t="s">
        <v>34</v>
      </c>
      <c r="B44" s="50" t="s">
        <v>426</v>
      </c>
      <c r="C44" s="47">
        <f t="shared" si="2"/>
        <v>2</v>
      </c>
      <c r="D44" s="68"/>
      <c r="E44" s="48">
        <f t="shared" si="5"/>
        <v>2</v>
      </c>
      <c r="F44" s="51">
        <v>25438523.899999999</v>
      </c>
      <c r="G44" s="51">
        <f>170400+2271807+1112998.5+329000+274651.7+635256.4+2301138.6+14574.8+5620.1+143865+34000+295000+81000+47000+460000+98594.6+107367.2+1132529.2+19627.3+13542.3+1733995+51218.3+805000+331187+21707.6+16577.1+24000+423758.4+391422.4+7267.6+2142850.6+168245+1621880.3+58000+68592.3+20000+1789931+684079+555921.1+735231.8+460959.5+973191.6+27000+477012.1+211434.5+9696.6+135865+900000+50000+165000</f>
        <v>24608996.500000007</v>
      </c>
      <c r="H44" s="220">
        <f t="shared" si="6"/>
        <v>96.7</v>
      </c>
      <c r="I44" s="53" t="s">
        <v>645</v>
      </c>
      <c r="J44" s="53" t="s">
        <v>121</v>
      </c>
      <c r="K44" s="57" t="s">
        <v>467</v>
      </c>
      <c r="L44" s="52" t="s">
        <v>468</v>
      </c>
      <c r="M44" s="57" t="s">
        <v>644</v>
      </c>
      <c r="N44" s="198" t="s">
        <v>111</v>
      </c>
    </row>
    <row r="45" spans="1:14" s="30" customFormat="1" ht="15" customHeight="1">
      <c r="A45" s="107" t="s">
        <v>35</v>
      </c>
      <c r="B45" s="50" t="s">
        <v>426</v>
      </c>
      <c r="C45" s="47">
        <f t="shared" si="2"/>
        <v>2</v>
      </c>
      <c r="D45" s="68"/>
      <c r="E45" s="48">
        <f t="shared" si="5"/>
        <v>2</v>
      </c>
      <c r="F45" s="51">
        <f>'1.4'!J45</f>
        <v>41191658.700000003</v>
      </c>
      <c r="G45" s="51">
        <f>10635.4+249078.4+1173341.4+6424549+2070127.8+5624072.6+9988013.5+12943858.2+467.8+213724.9+4926.4+829521.8+19755.9+12000+277029.6+4316.2+1069344.1+121382+131629.2+23884.5</f>
        <v>41191658.699999996</v>
      </c>
      <c r="H45" s="220">
        <f t="shared" si="6"/>
        <v>100</v>
      </c>
      <c r="I45" s="53" t="s">
        <v>236</v>
      </c>
      <c r="J45" s="53" t="s">
        <v>121</v>
      </c>
      <c r="K45" s="57" t="s">
        <v>259</v>
      </c>
      <c r="L45" s="52" t="s">
        <v>469</v>
      </c>
      <c r="M45" s="57" t="s">
        <v>111</v>
      </c>
      <c r="N45" s="198"/>
    </row>
    <row r="46" spans="1:14" s="30" customFormat="1" ht="15" customHeight="1">
      <c r="A46" s="107" t="s">
        <v>222</v>
      </c>
      <c r="B46" s="46" t="s">
        <v>292</v>
      </c>
      <c r="C46" s="47">
        <f t="shared" si="2"/>
        <v>0</v>
      </c>
      <c r="D46" s="47"/>
      <c r="E46" s="145" t="s">
        <v>187</v>
      </c>
      <c r="F46" s="51" t="str">
        <f>'1.4'!J46</f>
        <v>-</v>
      </c>
      <c r="G46" s="146" t="s">
        <v>111</v>
      </c>
      <c r="H46" s="220" t="s">
        <v>111</v>
      </c>
      <c r="I46" s="57" t="s">
        <v>111</v>
      </c>
      <c r="J46" s="57" t="s">
        <v>111</v>
      </c>
      <c r="K46" s="57" t="s">
        <v>111</v>
      </c>
      <c r="L46" s="57" t="s">
        <v>111</v>
      </c>
      <c r="M46" s="57" t="s">
        <v>111</v>
      </c>
      <c r="N46" s="198"/>
    </row>
    <row r="47" spans="1:14" s="30" customFormat="1" ht="15" customHeight="1">
      <c r="A47" s="120" t="s">
        <v>36</v>
      </c>
      <c r="B47" s="89"/>
      <c r="C47" s="89"/>
      <c r="D47" s="89"/>
      <c r="E47" s="89"/>
      <c r="F47" s="228"/>
      <c r="G47" s="228"/>
      <c r="H47" s="86"/>
      <c r="I47" s="89"/>
      <c r="J47" s="147"/>
      <c r="K47" s="148"/>
      <c r="L47" s="148"/>
      <c r="M47" s="149"/>
      <c r="N47" s="198"/>
    </row>
    <row r="48" spans="1:14" s="30" customFormat="1" ht="15" customHeight="1">
      <c r="A48" s="107" t="s">
        <v>37</v>
      </c>
      <c r="B48" s="50" t="s">
        <v>428</v>
      </c>
      <c r="C48" s="47">
        <f t="shared" si="2"/>
        <v>0</v>
      </c>
      <c r="D48" s="68"/>
      <c r="E48" s="48">
        <f t="shared" ref="E48:E54" si="7">C48*(1-D48)</f>
        <v>0</v>
      </c>
      <c r="F48" s="51">
        <f>'1.4'!J48</f>
        <v>16622894.232000001</v>
      </c>
      <c r="G48" s="51" t="s">
        <v>618</v>
      </c>
      <c r="H48" s="220" t="s">
        <v>111</v>
      </c>
      <c r="I48" s="151" t="s">
        <v>236</v>
      </c>
      <c r="J48" s="151" t="s">
        <v>122</v>
      </c>
      <c r="K48" s="52" t="s">
        <v>470</v>
      </c>
      <c r="L48" s="52" t="s">
        <v>471</v>
      </c>
      <c r="M48" s="50" t="s">
        <v>633</v>
      </c>
      <c r="N48" s="198" t="s">
        <v>111</v>
      </c>
    </row>
    <row r="49" spans="1:14" ht="15" customHeight="1">
      <c r="A49" s="107" t="s">
        <v>38</v>
      </c>
      <c r="B49" s="50" t="s">
        <v>427</v>
      </c>
      <c r="C49" s="47">
        <f t="shared" si="2"/>
        <v>1</v>
      </c>
      <c r="D49" s="68">
        <v>0.5</v>
      </c>
      <c r="E49" s="48">
        <f t="shared" si="7"/>
        <v>0.5</v>
      </c>
      <c r="F49" s="51">
        <f>'1.4'!J49</f>
        <v>59439.3</v>
      </c>
      <c r="G49" s="51">
        <f>13180.3+18364.1+5000</f>
        <v>36544.399999999994</v>
      </c>
      <c r="H49" s="220">
        <f t="shared" ref="H49:H54" si="8">ROUND(G49/F49*100,1)</f>
        <v>61.5</v>
      </c>
      <c r="I49" s="53" t="s">
        <v>648</v>
      </c>
      <c r="J49" s="151" t="s">
        <v>122</v>
      </c>
      <c r="K49" s="52" t="s">
        <v>649</v>
      </c>
      <c r="L49" s="52" t="s">
        <v>472</v>
      </c>
      <c r="M49" s="50" t="s">
        <v>650</v>
      </c>
      <c r="N49" s="198" t="s">
        <v>111</v>
      </c>
    </row>
    <row r="50" spans="1:14" s="30" customFormat="1" ht="15" customHeight="1">
      <c r="A50" s="107" t="s">
        <v>39</v>
      </c>
      <c r="B50" s="50" t="s">
        <v>427</v>
      </c>
      <c r="C50" s="47">
        <f t="shared" si="2"/>
        <v>1</v>
      </c>
      <c r="D50" s="68"/>
      <c r="E50" s="48">
        <f t="shared" si="7"/>
        <v>1</v>
      </c>
      <c r="F50" s="51">
        <f>'1.4'!J50</f>
        <v>4300117.8</v>
      </c>
      <c r="G50" s="51">
        <v>3046660.41</v>
      </c>
      <c r="H50" s="220">
        <f t="shared" si="8"/>
        <v>70.900000000000006</v>
      </c>
      <c r="I50" s="53" t="s">
        <v>236</v>
      </c>
      <c r="J50" s="53" t="s">
        <v>121</v>
      </c>
      <c r="K50" s="52" t="s">
        <v>274</v>
      </c>
      <c r="L50" s="52" t="s">
        <v>473</v>
      </c>
      <c r="M50" s="57" t="s">
        <v>634</v>
      </c>
      <c r="N50" s="198" t="s">
        <v>111</v>
      </c>
    </row>
    <row r="51" spans="1:14" ht="15" customHeight="1">
      <c r="A51" s="107" t="s">
        <v>40</v>
      </c>
      <c r="B51" s="50" t="s">
        <v>428</v>
      </c>
      <c r="C51" s="47">
        <f t="shared" si="2"/>
        <v>0</v>
      </c>
      <c r="D51" s="68"/>
      <c r="E51" s="48">
        <f t="shared" si="7"/>
        <v>0</v>
      </c>
      <c r="F51" s="51" t="s">
        <v>618</v>
      </c>
      <c r="G51" s="51">
        <f>292483.9+318809.5</f>
        <v>611293.4</v>
      </c>
      <c r="H51" s="220" t="s">
        <v>111</v>
      </c>
      <c r="I51" s="53" t="s">
        <v>617</v>
      </c>
      <c r="J51" s="53" t="s">
        <v>121</v>
      </c>
      <c r="K51" s="52" t="s">
        <v>208</v>
      </c>
      <c r="L51" s="52" t="s">
        <v>267</v>
      </c>
      <c r="M51" s="57" t="s">
        <v>620</v>
      </c>
      <c r="N51" s="198" t="s">
        <v>111</v>
      </c>
    </row>
    <row r="52" spans="1:14" s="30" customFormat="1" ht="15" customHeight="1">
      <c r="A52" s="107" t="s">
        <v>547</v>
      </c>
      <c r="B52" s="50" t="s">
        <v>428</v>
      </c>
      <c r="C52" s="47">
        <f t="shared" si="2"/>
        <v>0</v>
      </c>
      <c r="D52" s="68"/>
      <c r="E52" s="48">
        <f t="shared" si="7"/>
        <v>0</v>
      </c>
      <c r="F52" s="51">
        <v>1214029.0999999999</v>
      </c>
      <c r="G52" s="51">
        <f>269793.5+2128.9+5251.7+50806.8+6327+181553.4</f>
        <v>515861.30000000005</v>
      </c>
      <c r="H52" s="220">
        <f t="shared" si="8"/>
        <v>42.5</v>
      </c>
      <c r="I52" s="53" t="s">
        <v>235</v>
      </c>
      <c r="J52" s="151" t="s">
        <v>122</v>
      </c>
      <c r="K52" s="52" t="s">
        <v>474</v>
      </c>
      <c r="L52" s="57" t="s">
        <v>475</v>
      </c>
      <c r="M52" s="57" t="s">
        <v>635</v>
      </c>
      <c r="N52" s="198" t="s">
        <v>111</v>
      </c>
    </row>
    <row r="53" spans="1:14" ht="15" customHeight="1">
      <c r="A53" s="107" t="s">
        <v>41</v>
      </c>
      <c r="B53" s="50" t="s">
        <v>428</v>
      </c>
      <c r="C53" s="47">
        <f t="shared" si="2"/>
        <v>0</v>
      </c>
      <c r="D53" s="68"/>
      <c r="E53" s="48">
        <f t="shared" si="7"/>
        <v>0</v>
      </c>
      <c r="F53" s="51" t="s">
        <v>618</v>
      </c>
      <c r="G53" s="51">
        <f>44853+2735.9+6513.8+1640771.4+531000+519272.2+114066.6+20129.2+399680.8</f>
        <v>3279022.9</v>
      </c>
      <c r="H53" s="220" t="s">
        <v>111</v>
      </c>
      <c r="I53" s="53" t="s">
        <v>617</v>
      </c>
      <c r="J53" s="53" t="s">
        <v>121</v>
      </c>
      <c r="K53" s="52" t="s">
        <v>259</v>
      </c>
      <c r="L53" s="57" t="s">
        <v>476</v>
      </c>
      <c r="M53" s="57" t="s">
        <v>636</v>
      </c>
      <c r="N53" s="198" t="s">
        <v>111</v>
      </c>
    </row>
    <row r="54" spans="1:14" ht="15" customHeight="1">
      <c r="A54" s="107" t="s">
        <v>42</v>
      </c>
      <c r="B54" s="50" t="s">
        <v>426</v>
      </c>
      <c r="C54" s="47">
        <f t="shared" si="2"/>
        <v>2</v>
      </c>
      <c r="D54" s="68"/>
      <c r="E54" s="48">
        <f t="shared" si="7"/>
        <v>2</v>
      </c>
      <c r="F54" s="51">
        <f>'1.4'!J54</f>
        <v>18480536.52</v>
      </c>
      <c r="G54" s="51">
        <f>412231.83+599019.36+1462736.29+151371+129663.11+3300+52306.58+362040.07+300000+34319.72+61884.9+116147.26+1526105.7+1587866.52+74930.97+110145.61+1625981.82+2400144.52+1015116.49+37543.84+432758.31+2093.13+32891.47+100171.1+84295.62+810507.32+286989.55+141517.9+314227.03+1219940.44+137083.94+211316.53+370685.73+136435.64+3157.89+20000+15303.79+61513.94+89031.9+7004.21+749643.01+10560.5+76534.56</f>
        <v>17376519.100000001</v>
      </c>
      <c r="H54" s="220">
        <f t="shared" si="8"/>
        <v>94</v>
      </c>
      <c r="I54" s="53" t="s">
        <v>236</v>
      </c>
      <c r="J54" s="53" t="s">
        <v>121</v>
      </c>
      <c r="K54" s="52" t="s">
        <v>259</v>
      </c>
      <c r="L54" s="57" t="s">
        <v>267</v>
      </c>
      <c r="M54" s="57" t="s">
        <v>111</v>
      </c>
    </row>
    <row r="55" spans="1:14" ht="15" customHeight="1">
      <c r="A55" s="120" t="s">
        <v>43</v>
      </c>
      <c r="B55" s="89"/>
      <c r="C55" s="89"/>
      <c r="D55" s="89"/>
      <c r="E55" s="89"/>
      <c r="F55" s="228"/>
      <c r="G55" s="228"/>
      <c r="H55" s="221"/>
      <c r="I55" s="147"/>
      <c r="J55" s="147"/>
      <c r="K55" s="148"/>
      <c r="L55" s="148"/>
      <c r="M55" s="149"/>
    </row>
    <row r="56" spans="1:14" ht="15" customHeight="1">
      <c r="A56" s="107" t="s">
        <v>44</v>
      </c>
      <c r="B56" s="50" t="s">
        <v>426</v>
      </c>
      <c r="C56" s="47">
        <f t="shared" si="2"/>
        <v>2</v>
      </c>
      <c r="D56" s="68"/>
      <c r="E56" s="48">
        <f t="shared" ref="E56:E69" si="9">C56*(1-D56)</f>
        <v>2</v>
      </c>
      <c r="F56" s="51">
        <f>'1.4'!J56</f>
        <v>36406678.701160006</v>
      </c>
      <c r="G56" s="51">
        <f>(239602700+8581000+250652600-25720600+482099169.7+349150540+72467700+56497933+2418664380+3836981309.52+1200000000-67787115.12+1099293200+25284591.84+24968979.59+5789055986+5555437380+466319073+1000000000+223999600+80333000+391162600+1254285306.13+1235730892.86+1462635700+100000000+84879700+303110700+19618900+31861600+3680570282.55+1071375530.06+46138900+25781734.69+751540120+303803398+95967600+97647276+723754043.6+6356000+150000000+200000000)/1000</f>
        <v>35122101.71142</v>
      </c>
      <c r="H56" s="220">
        <f>ROUND(G56/F56*100,1)</f>
        <v>96.5</v>
      </c>
      <c r="I56" s="53" t="s">
        <v>236</v>
      </c>
      <c r="J56" s="53" t="s">
        <v>121</v>
      </c>
      <c r="K56" s="52" t="s">
        <v>279</v>
      </c>
      <c r="L56" s="52" t="s">
        <v>267</v>
      </c>
      <c r="M56" s="57" t="s">
        <v>111</v>
      </c>
    </row>
    <row r="57" spans="1:14" s="30" customFormat="1" ht="15" customHeight="1">
      <c r="A57" s="107" t="s">
        <v>548</v>
      </c>
      <c r="B57" s="50" t="s">
        <v>426</v>
      </c>
      <c r="C57" s="47">
        <f t="shared" si="2"/>
        <v>2</v>
      </c>
      <c r="D57" s="68"/>
      <c r="E57" s="48">
        <f t="shared" si="9"/>
        <v>2</v>
      </c>
      <c r="F57" s="51">
        <f>'1.4'!J57</f>
        <v>4873120.0999999996</v>
      </c>
      <c r="G57" s="51">
        <f>136210+20132.06+24602.65307+564096.25543+248665.68469+12308.18182+53192.16885+728129.39394+46005.51+290818.87755+397092.20008+375159.422+11622.2+157912.91009+112097.1+360940.46238+889753.6178+11378.06123+141561.438+177155.5103+49992.74034+1445.3242+30474.89796+9590.71429+2275.71429+14744.89796+5762.14286</f>
        <v>4873120.1391299982</v>
      </c>
      <c r="H57" s="220">
        <f>ROUND(G57/F57*100,1)</f>
        <v>100</v>
      </c>
      <c r="I57" s="53" t="s">
        <v>236</v>
      </c>
      <c r="J57" s="53" t="s">
        <v>121</v>
      </c>
      <c r="K57" s="52" t="s">
        <v>208</v>
      </c>
      <c r="L57" s="52" t="s">
        <v>274</v>
      </c>
      <c r="M57" s="57" t="s">
        <v>111</v>
      </c>
      <c r="N57" s="198"/>
    </row>
    <row r="58" spans="1:14" s="30" customFormat="1" ht="15" customHeight="1">
      <c r="A58" s="107" t="s">
        <v>45</v>
      </c>
      <c r="B58" s="50" t="s">
        <v>428</v>
      </c>
      <c r="C58" s="47">
        <f t="shared" si="2"/>
        <v>0</v>
      </c>
      <c r="D58" s="68"/>
      <c r="E58" s="48">
        <f t="shared" si="9"/>
        <v>0</v>
      </c>
      <c r="F58" s="51">
        <f>'1.4'!J58</f>
        <v>6993573.0999999996</v>
      </c>
      <c r="G58" s="144">
        <f>47187.7+55000+42831.5+62803.7+312238+135059.5+379763.9+20382+367358.8+1765.3+91492.4+5999.6+147100+18988.5</f>
        <v>1687970.9000000001</v>
      </c>
      <c r="H58" s="220">
        <f>ROUND(G58/F58*100,1)</f>
        <v>24.1</v>
      </c>
      <c r="I58" s="53" t="s">
        <v>236</v>
      </c>
      <c r="J58" s="53" t="s">
        <v>122</v>
      </c>
      <c r="K58" s="52" t="s">
        <v>264</v>
      </c>
      <c r="L58" s="52" t="s">
        <v>477</v>
      </c>
      <c r="M58" s="57" t="s">
        <v>621</v>
      </c>
      <c r="N58" s="198" t="s">
        <v>111</v>
      </c>
    </row>
    <row r="59" spans="1:14" s="30" customFormat="1" ht="15" customHeight="1">
      <c r="A59" s="107" t="s">
        <v>46</v>
      </c>
      <c r="B59" s="50" t="s">
        <v>428</v>
      </c>
      <c r="C59" s="47">
        <f t="shared" si="2"/>
        <v>0</v>
      </c>
      <c r="D59" s="68"/>
      <c r="E59" s="48">
        <f t="shared" si="9"/>
        <v>0</v>
      </c>
      <c r="F59" s="51" t="s">
        <v>234</v>
      </c>
      <c r="G59" s="144">
        <f>108723.1+162030.2+75114.1+10032.5+25000+62357.2+1472167.4+1050203+19747803.8+1804132.7</f>
        <v>24517564</v>
      </c>
      <c r="H59" s="220" t="s">
        <v>111</v>
      </c>
      <c r="I59" s="53" t="s">
        <v>234</v>
      </c>
      <c r="J59" s="53" t="s">
        <v>121</v>
      </c>
      <c r="K59" s="52" t="s">
        <v>120</v>
      </c>
      <c r="L59" s="52" t="s">
        <v>479</v>
      </c>
      <c r="M59" s="57" t="s">
        <v>478</v>
      </c>
      <c r="N59" s="198" t="s">
        <v>111</v>
      </c>
    </row>
    <row r="60" spans="1:14" s="30" customFormat="1" ht="15" customHeight="1">
      <c r="A60" s="107" t="s">
        <v>47</v>
      </c>
      <c r="B60" s="50" t="s">
        <v>426</v>
      </c>
      <c r="C60" s="47">
        <f t="shared" si="2"/>
        <v>2</v>
      </c>
      <c r="D60" s="68">
        <v>0.5</v>
      </c>
      <c r="E60" s="48">
        <f t="shared" si="9"/>
        <v>1</v>
      </c>
      <c r="F60" s="51">
        <f>7833533562.8/1000</f>
        <v>7833533.5628000004</v>
      </c>
      <c r="G60" s="51">
        <f>(13323261.6+1155591100.8+23764567.9+6105061.7+10644259.3+3970000+9453940+69309300+93018010+835470940+298555600+305838100+411370150+802115125+119756700+166302000+3177284+44318400+863495120.8+24227000+14792444.5+171593400.1+9000074.2+731191277+34366494.8+93088660+61987771.3+806075+15975000+17222691.9+483914200+26918000-380000+37401500+14386666.5+20622061.9+202859506.2+106228300+406054400)/1000</f>
        <v>7707834.4445000002</v>
      </c>
      <c r="H60" s="220">
        <f t="shared" ref="H60:H71" si="10">ROUND(G60/F60*100,1)</f>
        <v>98.4</v>
      </c>
      <c r="I60" s="53" t="s">
        <v>235</v>
      </c>
      <c r="J60" s="53" t="s">
        <v>121</v>
      </c>
      <c r="K60" s="52" t="s">
        <v>120</v>
      </c>
      <c r="L60" s="52" t="s">
        <v>261</v>
      </c>
      <c r="M60" s="57" t="s">
        <v>290</v>
      </c>
      <c r="N60" s="198" t="s">
        <v>111</v>
      </c>
    </row>
    <row r="61" spans="1:14" ht="15" customHeight="1">
      <c r="A61" s="107" t="s">
        <v>549</v>
      </c>
      <c r="B61" s="50" t="s">
        <v>426</v>
      </c>
      <c r="C61" s="47">
        <f t="shared" si="2"/>
        <v>2</v>
      </c>
      <c r="D61" s="68"/>
      <c r="E61" s="48">
        <f t="shared" si="9"/>
        <v>2</v>
      </c>
      <c r="F61" s="51">
        <f>'1.4'!J61</f>
        <v>5806333.4000000004</v>
      </c>
      <c r="G61" s="51">
        <f>2494.8+365000+335000+210000+90000+100000+120000+100000+1111595+128734.2+720142.4+4069.2+10271.6+6500+78020.7+327852.6+3300+6847.5+16472.1+3766.5+19169.4+300000+7547.5+12374.1+20314.3+8104.9+14740.7+27394.5+62287.4+137933.5+116709.7+147991+133162.9+44232+23975.1+6124.4+289791+45787.1</f>
        <v>5157706.1000000006</v>
      </c>
      <c r="H61" s="220">
        <f t="shared" si="10"/>
        <v>88.8</v>
      </c>
      <c r="I61" s="53" t="s">
        <v>236</v>
      </c>
      <c r="J61" s="53" t="s">
        <v>121</v>
      </c>
      <c r="K61" s="52" t="s">
        <v>275</v>
      </c>
      <c r="L61" s="52" t="s">
        <v>279</v>
      </c>
      <c r="M61" s="57" t="s">
        <v>111</v>
      </c>
    </row>
    <row r="62" spans="1:14" s="30" customFormat="1" ht="14.5" customHeight="1">
      <c r="A62" s="107" t="s">
        <v>48</v>
      </c>
      <c r="B62" s="50" t="s">
        <v>427</v>
      </c>
      <c r="C62" s="47">
        <f t="shared" si="2"/>
        <v>1</v>
      </c>
      <c r="D62" s="68"/>
      <c r="E62" s="48">
        <f t="shared" si="9"/>
        <v>1</v>
      </c>
      <c r="F62" s="51">
        <f>'1.4'!J62</f>
        <v>17747765.899999999</v>
      </c>
      <c r="G62" s="144">
        <f>235486.3+20718.3-2959.8+7798.6+1253783.5+136237+1010432.6+567247.5+14043.4+19850-16250+21383.3+21500+35473.7+100000-44189.5+59308.1+52212.4+30000+18174.9+7694.8+213684.2+86849+7206.8+4172.3+81252.4+119128.5+14287.2+253197.5+1870059.2+722491.6+2906587.2-300000+105201.6+185198.7+986707.9+412000+249128.8+90430.2+193823.9+36621.7+62916.5+68728.7</f>
        <v>11917618.999999998</v>
      </c>
      <c r="H62" s="220">
        <f t="shared" si="10"/>
        <v>67.099999999999994</v>
      </c>
      <c r="I62" s="53" t="s">
        <v>236</v>
      </c>
      <c r="J62" s="53" t="s">
        <v>121</v>
      </c>
      <c r="K62" s="52" t="s">
        <v>258</v>
      </c>
      <c r="L62" s="52" t="s">
        <v>267</v>
      </c>
      <c r="M62" s="57" t="s">
        <v>111</v>
      </c>
      <c r="N62" s="198"/>
    </row>
    <row r="63" spans="1:14" s="30" customFormat="1" ht="14.5" customHeight="1">
      <c r="A63" s="107" t="s">
        <v>49</v>
      </c>
      <c r="B63" s="50" t="s">
        <v>426</v>
      </c>
      <c r="C63" s="47">
        <f t="shared" si="2"/>
        <v>2</v>
      </c>
      <c r="D63" s="68"/>
      <c r="E63" s="48">
        <f t="shared" si="9"/>
        <v>2</v>
      </c>
      <c r="F63" s="51">
        <f>'1.4'!J63</f>
        <v>15526501.5</v>
      </c>
      <c r="G63" s="144">
        <f>55928.1+23040.6+33008.2+12403.1+4808.4+37387.4+10149.6+94212.9+6500+541075.6+18600+21357.1+19400.4+62932+2150793.9+49301.9+794998.5+2072019.3+102500+395402+494952.6+2661624+1245801+415269+188444.9+1230000+9329.5+383630+4468.2+7478.2+4996.9+3793+32000+82392.7+104757.4+14010+5644.8+32153+63603.5+3587.7</f>
        <v>13493755.399999999</v>
      </c>
      <c r="H63" s="220">
        <f t="shared" si="10"/>
        <v>86.9</v>
      </c>
      <c r="I63" s="53" t="s">
        <v>236</v>
      </c>
      <c r="J63" s="53" t="s">
        <v>121</v>
      </c>
      <c r="K63" s="52" t="s">
        <v>276</v>
      </c>
      <c r="L63" s="52" t="s">
        <v>284</v>
      </c>
      <c r="M63" s="57" t="s">
        <v>111</v>
      </c>
      <c r="N63" s="198"/>
    </row>
    <row r="64" spans="1:14" s="30" customFormat="1" ht="14.5" customHeight="1">
      <c r="A64" s="107" t="s">
        <v>550</v>
      </c>
      <c r="B64" s="50" t="s">
        <v>426</v>
      </c>
      <c r="C64" s="47">
        <f t="shared" si="2"/>
        <v>2</v>
      </c>
      <c r="D64" s="68"/>
      <c r="E64" s="48">
        <f t="shared" si="9"/>
        <v>2</v>
      </c>
      <c r="F64" s="51">
        <f>'1.4'!J64</f>
        <v>28879963.300000001</v>
      </c>
      <c r="G64" s="51">
        <f>3181227.7+9137.9+28936.6+10076.3+39885.4+5894.4+18665.2+892.3+21416+3466.4+13721.2+2344.7+7424.7+1038.2+3287.7+31.6+759+197379.4+32076.3+48721.6+151316.7+108706.4+212656.8+47606+227345.5+424313.9+396.2+5348.1+128354.8+762472+490278.2+392242.2+1242100.2+387.2+9292.1+4316.4+103593.3+2578.5+61884.3+249858.5+791218.7+253293.4+196554.3+270000+23798.7+91169.2+3150.2+75611+3969.5+95268.8+24590.3+534900.7+248254.2+2970+2036106.7+84400+1196052.4+2447.9+58747.3+14103.2+446054.3+89626.7+1142924.3+2520139.2+82610.6+274493.7+24800+4001991.6+411.8+1303.9+107891.6+280000+40625.9+975022.1+500000+14850.3+449255.6+46609.8+1484095.5+14999.7+8821.6+11.5+68525.8+24500.5+110481.6+200000+14458.4</f>
        <v>27182542.400000006</v>
      </c>
      <c r="H64" s="220">
        <f t="shared" si="10"/>
        <v>94.1</v>
      </c>
      <c r="I64" s="53" t="s">
        <v>236</v>
      </c>
      <c r="J64" s="53" t="s">
        <v>121</v>
      </c>
      <c r="K64" s="52" t="s">
        <v>480</v>
      </c>
      <c r="L64" s="52" t="s">
        <v>272</v>
      </c>
      <c r="M64" s="57" t="s">
        <v>111</v>
      </c>
      <c r="N64" s="198"/>
    </row>
    <row r="65" spans="1:14" s="30" customFormat="1" ht="15" customHeight="1">
      <c r="A65" s="107" t="s">
        <v>50</v>
      </c>
      <c r="B65" s="50" t="s">
        <v>426</v>
      </c>
      <c r="C65" s="47">
        <f t="shared" si="2"/>
        <v>2</v>
      </c>
      <c r="D65" s="68"/>
      <c r="E65" s="48">
        <f t="shared" si="9"/>
        <v>2</v>
      </c>
      <c r="F65" s="51">
        <f>'1.4'!J65</f>
        <v>18293559.300000001</v>
      </c>
      <c r="G65" s="51">
        <f>124198.6+554492.9+120000+1722.2+2227106.5+326507.3+60649.4+51196.4+375205.1+60114+709974.9+155483.4-0.037+315240+94531.3+3396989+129123.7+302090.2+132095+28740.4+52900+126413.8+10000+1159037.9+100000+174492.6+6000+71033.6+25002.8+244613.7+68777.6+3430.8+1200+42864.9+30906.9+1184995.5+177162.2+8388.7+49664.4+417215.7+12312+4193.6+127200+10670.3+425052.6+651800+36535.6+889334.6+255886.8+200000+16737.8+48468.6+32081+1017924.2+500000-548.2+134947+53493.6+50000+111858.5</f>
        <v>17697509.363000002</v>
      </c>
      <c r="H65" s="220">
        <f t="shared" si="10"/>
        <v>96.7</v>
      </c>
      <c r="I65" s="53" t="s">
        <v>236</v>
      </c>
      <c r="J65" s="53" t="s">
        <v>121</v>
      </c>
      <c r="K65" s="52" t="s">
        <v>279</v>
      </c>
      <c r="L65" s="52" t="s">
        <v>261</v>
      </c>
      <c r="M65" s="57" t="s">
        <v>111</v>
      </c>
      <c r="N65" s="198"/>
    </row>
    <row r="66" spans="1:14" s="30" customFormat="1" ht="15" customHeight="1">
      <c r="A66" s="107" t="s">
        <v>51</v>
      </c>
      <c r="B66" s="136" t="s">
        <v>426</v>
      </c>
      <c r="C66" s="110">
        <f t="shared" si="2"/>
        <v>2</v>
      </c>
      <c r="D66" s="197"/>
      <c r="E66" s="182">
        <f t="shared" si="9"/>
        <v>2</v>
      </c>
      <c r="F66" s="51">
        <v>9106929.9000000004</v>
      </c>
      <c r="G66" s="51">
        <f>377145.1+174958.8+323241.6+39986.2+10799.6+25631+2939.5+82553.9+348967.9+55977.7+98606.4+535208.2+13246.4+63989.4+715691.6+5614.2+459343.2+121006.9+30159.2+646821.2+973533+7984.8+6000+1257965+23200+5000+193067.7+119396.4+78679.7+9310+5000+51500+950+500+31223.1+71636+1320.3+661049.3</f>
        <v>7629203.2999999998</v>
      </c>
      <c r="H66" s="220">
        <f t="shared" si="10"/>
        <v>83.8</v>
      </c>
      <c r="I66" s="53" t="s">
        <v>645</v>
      </c>
      <c r="J66" s="53" t="s">
        <v>121</v>
      </c>
      <c r="K66" s="52" t="s">
        <v>279</v>
      </c>
      <c r="L66" s="52" t="s">
        <v>481</v>
      </c>
      <c r="M66" s="57" t="s">
        <v>643</v>
      </c>
      <c r="N66" s="198" t="s">
        <v>111</v>
      </c>
    </row>
    <row r="67" spans="1:14" ht="15" customHeight="1">
      <c r="A67" s="107" t="s">
        <v>52</v>
      </c>
      <c r="B67" s="50" t="s">
        <v>428</v>
      </c>
      <c r="C67" s="47">
        <f t="shared" si="2"/>
        <v>0</v>
      </c>
      <c r="D67" s="68"/>
      <c r="E67" s="48">
        <f t="shared" si="9"/>
        <v>0</v>
      </c>
      <c r="F67" s="51" t="s">
        <v>618</v>
      </c>
      <c r="G67" s="51">
        <f>3418+1024960+1092+2100+1588+44395+2012+851772+3486+72976+20325+92675+10003+9018+451+25641+607958+10899+59775+67960+3380+9522+225947+43211+232918+50000+196202+3268+160937+309184+15354+9492+11212+31882+484645+22802+71656+6968+6375+4405+1111329+3040397+306620+756786+18658+205157+269406+593542+3872882+126091+119810+882069+27505+571884+15643+1068879+29062+4806097+335000+41845+135551+489476+74756+61416+16858+44124+79884+42151+10000</f>
        <v>23964742</v>
      </c>
      <c r="H67" s="220" t="s">
        <v>111</v>
      </c>
      <c r="I67" s="53" t="s">
        <v>617</v>
      </c>
      <c r="J67" s="53" t="s">
        <v>121</v>
      </c>
      <c r="K67" s="52" t="s">
        <v>482</v>
      </c>
      <c r="L67" s="52" t="s">
        <v>483</v>
      </c>
      <c r="M67" s="57" t="s">
        <v>636</v>
      </c>
      <c r="N67" s="198" t="s">
        <v>111</v>
      </c>
    </row>
    <row r="68" spans="1:14" s="30" customFormat="1" ht="15" customHeight="1">
      <c r="A68" s="107" t="s">
        <v>53</v>
      </c>
      <c r="B68" s="50" t="s">
        <v>426</v>
      </c>
      <c r="C68" s="47">
        <f t="shared" si="2"/>
        <v>2</v>
      </c>
      <c r="D68" s="68"/>
      <c r="E68" s="48">
        <f t="shared" si="9"/>
        <v>2</v>
      </c>
      <c r="F68" s="51">
        <f>'1.4'!J68</f>
        <v>7800973.5</v>
      </c>
      <c r="G68" s="51">
        <v>7623673.5</v>
      </c>
      <c r="H68" s="220">
        <f t="shared" si="10"/>
        <v>97.7</v>
      </c>
      <c r="I68" s="53" t="s">
        <v>236</v>
      </c>
      <c r="J68" s="53" t="s">
        <v>121</v>
      </c>
      <c r="K68" s="52" t="s">
        <v>264</v>
      </c>
      <c r="L68" s="52" t="s">
        <v>269</v>
      </c>
      <c r="M68" s="57" t="s">
        <v>111</v>
      </c>
      <c r="N68" s="198"/>
    </row>
    <row r="69" spans="1:14" s="30" customFormat="1" ht="15" customHeight="1">
      <c r="A69" s="107" t="s">
        <v>54</v>
      </c>
      <c r="B69" s="50" t="s">
        <v>426</v>
      </c>
      <c r="C69" s="47">
        <f t="shared" si="2"/>
        <v>2</v>
      </c>
      <c r="D69" s="68"/>
      <c r="E69" s="48">
        <f t="shared" si="9"/>
        <v>2</v>
      </c>
      <c r="F69" s="51">
        <f>'1.4'!J69</f>
        <v>6884008.3191799996</v>
      </c>
      <c r="G69" s="51">
        <f>42858.71653+3375+329347.62887+20000+1900+9905.1+22945.2+26500+1000+8125.9+1000+24372.9+849+10940.9+1100+3583.3+270055.43987+52902.2+1000+170932.864+1571627.2+80000+7665.7+516184+256.3+10000+41653.75+2517.1+703121.675+25568.6+90097.4+298285.7+25000+1000+30000+10249.9+355000+1209327.29+30070+69441.29+70685+4684.6+44022+16875+15000+63292.3+404433.6+74575.4</f>
        <v>6773327.9542700006</v>
      </c>
      <c r="H69" s="220">
        <f t="shared" si="10"/>
        <v>98.4</v>
      </c>
      <c r="I69" s="53" t="s">
        <v>236</v>
      </c>
      <c r="J69" s="53" t="s">
        <v>121</v>
      </c>
      <c r="K69" s="52" t="s">
        <v>264</v>
      </c>
      <c r="L69" s="52" t="s">
        <v>484</v>
      </c>
      <c r="M69" s="57" t="s">
        <v>111</v>
      </c>
      <c r="N69" s="198"/>
    </row>
    <row r="70" spans="1:14" ht="15" customHeight="1">
      <c r="A70" s="120" t="s">
        <v>55</v>
      </c>
      <c r="B70" s="89"/>
      <c r="C70" s="89"/>
      <c r="D70" s="89"/>
      <c r="E70" s="89"/>
      <c r="F70" s="228"/>
      <c r="G70" s="228"/>
      <c r="H70" s="86"/>
      <c r="I70" s="89"/>
      <c r="J70" s="89"/>
      <c r="K70" s="148"/>
      <c r="L70" s="148"/>
      <c r="M70" s="149"/>
    </row>
    <row r="71" spans="1:14" ht="15" customHeight="1">
      <c r="A71" s="107" t="s">
        <v>56</v>
      </c>
      <c r="B71" s="50" t="s">
        <v>426</v>
      </c>
      <c r="C71" s="47">
        <f t="shared" si="2"/>
        <v>2</v>
      </c>
      <c r="D71" s="68"/>
      <c r="E71" s="48">
        <f t="shared" ref="E71:E76" si="11">C71*(1-D71)</f>
        <v>2</v>
      </c>
      <c r="F71" s="51">
        <f>'1.4'!J71</f>
        <v>7871843.4000000004</v>
      </c>
      <c r="G71" s="51">
        <f>7044528.8</f>
        <v>7044528.7999999998</v>
      </c>
      <c r="H71" s="220">
        <f t="shared" si="10"/>
        <v>89.5</v>
      </c>
      <c r="I71" s="53" t="s">
        <v>236</v>
      </c>
      <c r="J71" s="53" t="s">
        <v>121</v>
      </c>
      <c r="K71" s="52" t="s">
        <v>261</v>
      </c>
      <c r="L71" s="52" t="s">
        <v>279</v>
      </c>
      <c r="M71" s="57" t="s">
        <v>111</v>
      </c>
    </row>
    <row r="72" spans="1:14" s="30" customFormat="1" ht="15" customHeight="1">
      <c r="A72" s="107" t="s">
        <v>57</v>
      </c>
      <c r="B72" s="50" t="s">
        <v>428</v>
      </c>
      <c r="C72" s="47">
        <f t="shared" si="2"/>
        <v>0</v>
      </c>
      <c r="D72" s="68"/>
      <c r="E72" s="48">
        <f t="shared" si="11"/>
        <v>0</v>
      </c>
      <c r="F72" s="51">
        <v>34825300.70000001</v>
      </c>
      <c r="G72" s="144">
        <f>23625+3772257+1639105.2+112012+196021.1+20897.6+100000+1377146.5+10000+11106.6+10400+6406+14782.9+4000+1000+2650+8132.1+16170.7+60327.2+9441.8+102699+2022.1+9914.4+12655.9+5674.8+1177095.5+611685.1+675952.4+320880.7+200000+1604386.9+15666.5</f>
        <v>12134114.999999998</v>
      </c>
      <c r="H72" s="220">
        <f t="shared" ref="H72:H76" si="12">ROUND(G72/F72*100,1)</f>
        <v>34.799999999999997</v>
      </c>
      <c r="I72" s="53" t="s">
        <v>235</v>
      </c>
      <c r="J72" s="53" t="s">
        <v>121</v>
      </c>
      <c r="K72" s="52" t="s">
        <v>285</v>
      </c>
      <c r="L72" s="52" t="s">
        <v>269</v>
      </c>
      <c r="M72" s="57" t="s">
        <v>625</v>
      </c>
      <c r="N72" s="198" t="s">
        <v>111</v>
      </c>
    </row>
    <row r="73" spans="1:14" ht="15" customHeight="1">
      <c r="A73" s="107" t="s">
        <v>58</v>
      </c>
      <c r="B73" s="50" t="s">
        <v>426</v>
      </c>
      <c r="C73" s="47">
        <f t="shared" si="2"/>
        <v>2</v>
      </c>
      <c r="D73" s="68"/>
      <c r="E73" s="48">
        <f t="shared" si="11"/>
        <v>2</v>
      </c>
      <c r="F73" s="51">
        <f>'1.4'!J73</f>
        <v>5862130</v>
      </c>
      <c r="G73" s="51">
        <v>5844064</v>
      </c>
      <c r="H73" s="220">
        <f t="shared" si="12"/>
        <v>99.7</v>
      </c>
      <c r="I73" s="53" t="s">
        <v>236</v>
      </c>
      <c r="J73" s="53" t="s">
        <v>121</v>
      </c>
      <c r="K73" s="52" t="s">
        <v>265</v>
      </c>
      <c r="L73" s="52" t="s">
        <v>281</v>
      </c>
      <c r="M73" s="57" t="s">
        <v>111</v>
      </c>
    </row>
    <row r="74" spans="1:14" ht="15" customHeight="1">
      <c r="A74" s="107" t="s">
        <v>59</v>
      </c>
      <c r="B74" s="50" t="s">
        <v>426</v>
      </c>
      <c r="C74" s="47">
        <f t="shared" si="2"/>
        <v>2</v>
      </c>
      <c r="D74" s="68"/>
      <c r="E74" s="48">
        <f t="shared" si="11"/>
        <v>2</v>
      </c>
      <c r="F74" s="51">
        <f>'1.4'!J74</f>
        <v>31606121.899999999</v>
      </c>
      <c r="G74" s="51">
        <f>222580.2+460683.7+2944195.5+2791100+262141.4+5000+43088.7+471020.1+755476.9+972389.7+109134.8+1297441.1+1064915.8+1104970.3+530252.1+183000+1634373.2+291172.9+825755.8+23783+123966.7+122011.8+83531.3+976559.2+46584.4+300000+254651.7+247583.7+58000+2184592.7+16568+29785.3+42122.8+80500+1201250.4+1180000+13170.8+38691.7+713485.2+4500+77121.4+13383.6+43504.8+97222.3+37482.7+11462.9+28351.6+3134+70761.7+3493.1+31047.4+3284+60778.8+19132.6+1992.8+18447.7+3200.8+13650+23000+890+1500000+58255.5+21357.1+15027.3+87899.9+11278.8+20324.4+18339.4+51849.4+139970.1+313000+149823.9+4024.2+15910+268739.7+16760.3+2396.4+45907.5+1202.7+2413+30000+66936.7+83356.6+123100+98734.2+558139.2+11615.2+30000+232282.2+16500+562178.2+183472.2+35803.7+6452+36400+10000+37994.8+346253.3+32015+11384.9+14792.4+17074.8+14439.5+204427.4+1000+14152.9+186163.1+2288.4+15634.4+471216.5+25238.8</f>
        <v>30494899.099999987</v>
      </c>
      <c r="H74" s="220">
        <f t="shared" si="12"/>
        <v>96.5</v>
      </c>
      <c r="I74" s="53" t="s">
        <v>236</v>
      </c>
      <c r="J74" s="53" t="s">
        <v>121</v>
      </c>
      <c r="K74" s="52" t="s">
        <v>208</v>
      </c>
      <c r="L74" s="52" t="s">
        <v>267</v>
      </c>
      <c r="M74" s="57" t="s">
        <v>111</v>
      </c>
    </row>
    <row r="75" spans="1:14" s="30" customFormat="1" ht="15" customHeight="1">
      <c r="A75" s="107" t="s">
        <v>551</v>
      </c>
      <c r="B75" s="50" t="s">
        <v>426</v>
      </c>
      <c r="C75" s="47">
        <f t="shared" ref="C75:C99" si="13">IF(B75="75 – 100 %",2,(IF(B75="50 – 74,9 %",1,0)))</f>
        <v>2</v>
      </c>
      <c r="D75" s="68"/>
      <c r="E75" s="48">
        <f t="shared" si="11"/>
        <v>2</v>
      </c>
      <c r="F75" s="51">
        <f>'1.4'!J75</f>
        <v>32923129.399999999</v>
      </c>
      <c r="G75" s="51">
        <f>209616+5366.4+1463861.4+305755.9+20321.8+789477+289709.3+349830.3+8030359.6+13229.5+6259.3+164008.3+234255.8+117663+2159.3+639.3+248571.9+517793.7+35000+9611.4+231616.7+78378+8945.7+84025.2+730173.3+1289998.3+118962.3+5650425.1+266355.3+726877.2+327302.5+2408739.6+432870.1+551100.3+2042874.9+133613.6+154300.1+170305.2+53630.6+177437.4+72838.5+890992.2+8000+70000+345400.6+330005+77730+3800+2200+450000+871351.2+150000+449116+89299.2+30920+47262.6+151965.5+191292.7</f>
        <v>32683594.100000009</v>
      </c>
      <c r="H75" s="220">
        <f t="shared" si="12"/>
        <v>99.3</v>
      </c>
      <c r="I75" s="53" t="s">
        <v>236</v>
      </c>
      <c r="J75" s="53" t="s">
        <v>121</v>
      </c>
      <c r="K75" s="52" t="s">
        <v>258</v>
      </c>
      <c r="L75" s="52" t="s">
        <v>287</v>
      </c>
      <c r="M75" s="151" t="s">
        <v>111</v>
      </c>
      <c r="N75" s="198"/>
    </row>
    <row r="76" spans="1:14" ht="15" customHeight="1">
      <c r="A76" s="107" t="s">
        <v>60</v>
      </c>
      <c r="B76" s="50" t="s">
        <v>426</v>
      </c>
      <c r="C76" s="47">
        <f t="shared" si="13"/>
        <v>2</v>
      </c>
      <c r="D76" s="68"/>
      <c r="E76" s="48">
        <f t="shared" si="11"/>
        <v>2</v>
      </c>
      <c r="F76" s="51">
        <v>48140859</v>
      </c>
      <c r="G76" s="51">
        <f>48140859-73048</f>
        <v>48067811</v>
      </c>
      <c r="H76" s="220">
        <f t="shared" si="12"/>
        <v>99.8</v>
      </c>
      <c r="I76" s="53" t="s">
        <v>236</v>
      </c>
      <c r="J76" s="53" t="s">
        <v>121</v>
      </c>
      <c r="K76" s="52" t="s">
        <v>261</v>
      </c>
      <c r="L76" s="52" t="s">
        <v>283</v>
      </c>
      <c r="M76" s="50" t="s">
        <v>111</v>
      </c>
    </row>
    <row r="77" spans="1:14" s="30" customFormat="1" ht="15" customHeight="1">
      <c r="A77" s="120" t="s">
        <v>61</v>
      </c>
      <c r="B77" s="89"/>
      <c r="C77" s="89"/>
      <c r="D77" s="89"/>
      <c r="E77" s="89"/>
      <c r="F77" s="228"/>
      <c r="G77" s="228"/>
      <c r="H77" s="86"/>
      <c r="I77" s="89"/>
      <c r="J77" s="89"/>
      <c r="K77" s="89"/>
      <c r="L77" s="89"/>
      <c r="M77" s="89"/>
      <c r="N77" s="198"/>
    </row>
    <row r="78" spans="1:14" ht="15" customHeight="1">
      <c r="A78" s="107" t="s">
        <v>62</v>
      </c>
      <c r="B78" s="50" t="s">
        <v>426</v>
      </c>
      <c r="C78" s="47">
        <f t="shared" si="13"/>
        <v>2</v>
      </c>
      <c r="D78" s="68"/>
      <c r="E78" s="48">
        <f t="shared" ref="E78:E87" si="14">C78*(1-D78)</f>
        <v>2</v>
      </c>
      <c r="F78" s="51">
        <f>'1.4'!J78</f>
        <v>2250507.5</v>
      </c>
      <c r="G78" s="51">
        <v>2150264.5</v>
      </c>
      <c r="H78" s="220">
        <f t="shared" ref="H78:H87" si="15">ROUND(G78/F78*100,1)</f>
        <v>95.5</v>
      </c>
      <c r="I78" s="53" t="s">
        <v>236</v>
      </c>
      <c r="J78" s="53" t="s">
        <v>121</v>
      </c>
      <c r="K78" s="52" t="s">
        <v>275</v>
      </c>
      <c r="L78" s="52" t="s">
        <v>283</v>
      </c>
      <c r="M78" s="57" t="s">
        <v>111</v>
      </c>
    </row>
    <row r="79" spans="1:14" s="30" customFormat="1" ht="15" customHeight="1">
      <c r="A79" s="107" t="s">
        <v>64</v>
      </c>
      <c r="B79" s="50" t="s">
        <v>428</v>
      </c>
      <c r="C79" s="47">
        <f t="shared" si="13"/>
        <v>0</v>
      </c>
      <c r="D79" s="68"/>
      <c r="E79" s="48">
        <f t="shared" si="14"/>
        <v>0</v>
      </c>
      <c r="F79" s="51" t="s">
        <v>618</v>
      </c>
      <c r="G79" s="51">
        <f>41077+421600+61322+4154+20024.1+176658+422464+101021+464.8+549.3+8210+7870+168646.8+24219+390997.9+208660+49449+6000+12485+11244.9+103985.8+1229.2+22897+12935.1</f>
        <v>2278163.9000000004</v>
      </c>
      <c r="H79" s="220" t="s">
        <v>111</v>
      </c>
      <c r="I79" s="53" t="s">
        <v>617</v>
      </c>
      <c r="J79" s="53" t="s">
        <v>121</v>
      </c>
      <c r="K79" s="52" t="s">
        <v>259</v>
      </c>
      <c r="L79" s="52" t="s">
        <v>485</v>
      </c>
      <c r="M79" s="57" t="s">
        <v>638</v>
      </c>
      <c r="N79" s="213" t="s">
        <v>111</v>
      </c>
    </row>
    <row r="80" spans="1:14" s="30" customFormat="1" ht="15" customHeight="1">
      <c r="A80" s="107" t="s">
        <v>65</v>
      </c>
      <c r="B80" s="50" t="s">
        <v>426</v>
      </c>
      <c r="C80" s="47">
        <f t="shared" si="13"/>
        <v>2</v>
      </c>
      <c r="D80" s="68"/>
      <c r="E80" s="48">
        <f t="shared" si="14"/>
        <v>2</v>
      </c>
      <c r="F80" s="51">
        <f>'1.4'!J80</f>
        <v>5972468</v>
      </c>
      <c r="G80" s="51">
        <f>6000+25000+492776+5000+260600+100000+430522+85000+21500+12315+22703+15000+10000+10000+1300+5000+15000+10000+1765.7+50000+114000+492120.75334+21951.23968+17709.8106+124216.87604+9187.67677+150619.394+236436.11111+18467.7+5500+67082+147181+358167+21285+702500+82322+4370+20155+110200+77765.859+9000+444.444+400+2358+21292+60364+4500+9215+13000+23730+11500+8730.667+1258.444+30636.364+120677.111+76821.889+4545.455+1707.4+100000+143577.68+40000+1000+10000+10524+84884.5</f>
        <v>5150886.0745400004</v>
      </c>
      <c r="H80" s="220">
        <f t="shared" si="15"/>
        <v>86.2</v>
      </c>
      <c r="I80" s="53" t="s">
        <v>236</v>
      </c>
      <c r="J80" s="53" t="s">
        <v>121</v>
      </c>
      <c r="K80" s="52" t="s">
        <v>266</v>
      </c>
      <c r="L80" s="52" t="s">
        <v>640</v>
      </c>
      <c r="M80" s="57" t="s">
        <v>641</v>
      </c>
      <c r="N80" s="198" t="s">
        <v>111</v>
      </c>
    </row>
    <row r="81" spans="1:14" ht="15" customHeight="1">
      <c r="A81" s="107" t="s">
        <v>66</v>
      </c>
      <c r="B81" s="50" t="s">
        <v>426</v>
      </c>
      <c r="C81" s="47">
        <f t="shared" si="13"/>
        <v>2</v>
      </c>
      <c r="D81" s="68">
        <v>0.5</v>
      </c>
      <c r="E81" s="48">
        <f t="shared" si="14"/>
        <v>1</v>
      </c>
      <c r="F81" s="51">
        <v>18305610.999999996</v>
      </c>
      <c r="G81" s="51">
        <f>63513.9+1440863.3+647204.7+80528.9+143803.4+79124+87182.2+5946.4+4940.5+13961.6+49860.3+334383.8+6500+1600+45910.1+463212.2+155965.1+15488.7+63922.5+310371+172503.6+1210152.3+434061.7+1295807.8+540763.7+66855.4+15139.6+32000+35041+66630.7+140378.9+57456.4+66641.4+800000+164290+124489+243169+20000+1259722+1249476+1983453+100000+300000+3000+222478+640000+210000+2000000</f>
        <v>17467792.100000001</v>
      </c>
      <c r="H81" s="220">
        <f t="shared" si="15"/>
        <v>95.4</v>
      </c>
      <c r="I81" s="53" t="s">
        <v>235</v>
      </c>
      <c r="J81" s="53" t="s">
        <v>121</v>
      </c>
      <c r="K81" s="52" t="s">
        <v>486</v>
      </c>
      <c r="L81" s="52" t="s">
        <v>487</v>
      </c>
      <c r="M81" s="50" t="s">
        <v>290</v>
      </c>
      <c r="N81" s="198" t="s">
        <v>111</v>
      </c>
    </row>
    <row r="82" spans="1:14" s="30" customFormat="1" ht="15" customHeight="1">
      <c r="A82" s="107" t="s">
        <v>68</v>
      </c>
      <c r="B82" s="50" t="s">
        <v>428</v>
      </c>
      <c r="C82" s="47">
        <f t="shared" si="13"/>
        <v>0</v>
      </c>
      <c r="D82" s="68"/>
      <c r="E82" s="48">
        <f t="shared" si="14"/>
        <v>0</v>
      </c>
      <c r="F82" s="51">
        <f>'1.4'!J82</f>
        <v>22088011.399999999</v>
      </c>
      <c r="G82" s="51">
        <f>2153940.6+187509.9+54284.6+144878.3+10251.2+15251.1+250000+1500+16351+19207.8+20551.4+9600+28951.5+13969+50089.4+85696.4+80000+2084836.7+9829.6+675670+852450.2</f>
        <v>6764818.6999999993</v>
      </c>
      <c r="H82" s="220">
        <f t="shared" si="15"/>
        <v>30.6</v>
      </c>
      <c r="I82" s="53" t="s">
        <v>236</v>
      </c>
      <c r="J82" s="53" t="s">
        <v>121</v>
      </c>
      <c r="K82" s="52" t="s">
        <v>260</v>
      </c>
      <c r="L82" s="52" t="s">
        <v>488</v>
      </c>
      <c r="M82" s="57" t="s">
        <v>642</v>
      </c>
      <c r="N82" s="198" t="s">
        <v>111</v>
      </c>
    </row>
    <row r="83" spans="1:14" ht="15" customHeight="1">
      <c r="A83" s="107" t="s">
        <v>69</v>
      </c>
      <c r="B83" s="50" t="s">
        <v>426</v>
      </c>
      <c r="C83" s="47">
        <f t="shared" si="13"/>
        <v>2</v>
      </c>
      <c r="D83" s="68"/>
      <c r="E83" s="48">
        <f t="shared" si="14"/>
        <v>2</v>
      </c>
      <c r="F83" s="51">
        <f>'1.4'!J83</f>
        <v>40552855.299999997</v>
      </c>
      <c r="G83" s="51">
        <f>743253.4+514366.7+595261.6+1605575.6+188005.4+1442851.5+59016+34524+135446.7+292745.5+57571.8+1834600+17487.4+136827.2+960+620684+425203.8+100824.6+62198.3+54526.3+573333.4+36271.9+8164.4+70234.9+80000+3935.9+10747+394964.6+337838.4+1331683.9+20000+126552.2+3832944.2+45159.9+5114.4+2847851.2+125724.1+1605958.5+839911.6+5462263.4+134628.5+57360.7+275748.6+130653+193365+100000+30000+35081.4+116511.4+63510+270785+882.7+3319411.8+20436.1+850000+266828.1+1545018.7+532970.5+276468.7+74816.4+79612.4+1925479.5+117409.3</f>
        <v>37097561.500000007</v>
      </c>
      <c r="H83" s="220">
        <f t="shared" si="15"/>
        <v>91.5</v>
      </c>
      <c r="I83" s="53" t="s">
        <v>236</v>
      </c>
      <c r="J83" s="53" t="s">
        <v>121</v>
      </c>
      <c r="K83" s="52" t="s">
        <v>465</v>
      </c>
      <c r="L83" s="52" t="s">
        <v>261</v>
      </c>
      <c r="M83" s="57" t="s">
        <v>111</v>
      </c>
    </row>
    <row r="84" spans="1:14" s="7" customFormat="1" ht="15" customHeight="1">
      <c r="A84" s="107" t="s">
        <v>552</v>
      </c>
      <c r="B84" s="50" t="s">
        <v>426</v>
      </c>
      <c r="C84" s="47">
        <f t="shared" si="13"/>
        <v>2</v>
      </c>
      <c r="D84" s="68"/>
      <c r="E84" s="48">
        <f t="shared" si="14"/>
        <v>2</v>
      </c>
      <c r="F84" s="51">
        <f>'1.4'!J84</f>
        <v>34879664.799999997</v>
      </c>
      <c r="G84" s="51">
        <f>153327.3+244542.1+362890+258000+48120+535200+19971.7+75090.7+1492222.9+462000+513800+192500+178500+539000+150600+1008606.4+437554.6+164905.1+4274438+334885.4+361062.9+1860905.1+365546.3+1972627.4+61564.5+6375+778127.9+30080.3+266064.1+167294+382923.1+32417+319507.2+280000+1334555.1+1473733.1+2278806.2+50+122165.6+1592705.3+59681.3+16056.2+13615.7+23712+24844.3+32386+172284.8+30000+98734.2+8790+177282.8+6000+3210.2+21337+3472+139774+15744.6+34982.5+7320.1+3200+3000+450+300+580+9644.7+2190+693.5+693470.4+1539562.4+982001+2072+113482.6+4240.3+390438.2+81694.8+254425+144957.6+636711.1+4338.2+766651.6+229716.9+10632.4</f>
        <v>31896344.70000001</v>
      </c>
      <c r="H84" s="220">
        <f t="shared" si="15"/>
        <v>91.4</v>
      </c>
      <c r="I84" s="53" t="s">
        <v>236</v>
      </c>
      <c r="J84" s="53" t="s">
        <v>121</v>
      </c>
      <c r="K84" s="52" t="s">
        <v>262</v>
      </c>
      <c r="L84" s="52" t="s">
        <v>267</v>
      </c>
      <c r="M84" s="57" t="s">
        <v>111</v>
      </c>
      <c r="N84" s="198"/>
    </row>
    <row r="85" spans="1:14" s="30" customFormat="1" ht="15" customHeight="1">
      <c r="A85" s="107" t="s">
        <v>70</v>
      </c>
      <c r="B85" s="50" t="s">
        <v>426</v>
      </c>
      <c r="C85" s="47">
        <f t="shared" si="13"/>
        <v>2</v>
      </c>
      <c r="D85" s="68"/>
      <c r="E85" s="48">
        <f t="shared" si="14"/>
        <v>2</v>
      </c>
      <c r="F85" s="51">
        <f>'1.4'!J85</f>
        <v>55563815.200000003</v>
      </c>
      <c r="G85" s="51">
        <f>5166.8+130636.8+21332.9+1693130.5+20000+422714.2+891299+30000+278679.5+4000+39736.4+35408.3+43994.4+6176.8+1888190.6+196146.8+411191.6+500874+398763.7+1199040.7+1735911.6+359879.6+202958.1+2092080.2+465932.4+3291906.9+30451.9+2645.2+1215175+105935+10204.1+371129.8+815000+18374+229900+147657.7+274979.1+49576.1+28630.8+7467247+48488.2+114000+74676.7+847.8+1588304.4+3071570.9+86000+70000+10325+1131550.7+969444.8+64359+590605+2500.1+20970.4+45394+100000+310365+366563.4+11681.1+16554000.2+1067851.5+30000+31119.6+57659.1+199894.5+43000+135471.1+6009.3+99204.9+1507901.1+22000</f>
        <v>55563815.300000004</v>
      </c>
      <c r="H85" s="220">
        <f t="shared" si="15"/>
        <v>100</v>
      </c>
      <c r="I85" s="53" t="s">
        <v>236</v>
      </c>
      <c r="J85" s="53" t="s">
        <v>121</v>
      </c>
      <c r="K85" s="52" t="s">
        <v>260</v>
      </c>
      <c r="L85" s="52" t="s">
        <v>269</v>
      </c>
      <c r="M85" s="57" t="s">
        <v>111</v>
      </c>
      <c r="N85" s="198"/>
    </row>
    <row r="86" spans="1:14" ht="15" customHeight="1">
      <c r="A86" s="107" t="s">
        <v>71</v>
      </c>
      <c r="B86" s="50" t="s">
        <v>428</v>
      </c>
      <c r="C86" s="47">
        <f t="shared" si="13"/>
        <v>0</v>
      </c>
      <c r="D86" s="68"/>
      <c r="E86" s="48">
        <f t="shared" si="14"/>
        <v>0</v>
      </c>
      <c r="F86" s="51">
        <f>'1.4'!J86</f>
        <v>11862299.85579</v>
      </c>
      <c r="G86" s="144">
        <v>0</v>
      </c>
      <c r="H86" s="220">
        <f t="shared" si="15"/>
        <v>0</v>
      </c>
      <c r="I86" s="53" t="s">
        <v>236</v>
      </c>
      <c r="J86" s="53" t="s">
        <v>111</v>
      </c>
      <c r="K86" s="52" t="s">
        <v>262</v>
      </c>
      <c r="L86" s="52" t="s">
        <v>111</v>
      </c>
      <c r="M86" s="57" t="s">
        <v>291</v>
      </c>
      <c r="N86" s="198" t="s">
        <v>111</v>
      </c>
    </row>
    <row r="87" spans="1:14" s="30" customFormat="1" ht="15" customHeight="1">
      <c r="A87" s="107" t="s">
        <v>72</v>
      </c>
      <c r="B87" s="50" t="s">
        <v>426</v>
      </c>
      <c r="C87" s="47">
        <f t="shared" si="13"/>
        <v>2</v>
      </c>
      <c r="D87" s="68"/>
      <c r="E87" s="48">
        <f t="shared" si="14"/>
        <v>2</v>
      </c>
      <c r="F87" s="51">
        <f>'1.4'!J87</f>
        <v>12985571.4</v>
      </c>
      <c r="G87" s="51">
        <f>30056.7+54683.1+65088.6+10412+93923.4+94981.8+89655.2+9000+9522.6+7500+30000+6268.4+29636.9+500+17901.8+15513.8+3687.1+10438.7+1000+75864+13026.5+3702+66498.1+604382.8+12274.4+5500+99466.4+48487.5+678.5+50000+52209.8+37183.5+95906.2+36461.5+422178.6-30905.8+79988.2-4000+6763+21756.8+165475.4+5117.9+4959.3+67545.4+6197.4+191.7+22268.9+68600+23016.9+1828473.1+167983+367995.7+3142.3+88780.5+1092586.7+163260.1+486429.6+213549.3+406068.9+85077.1+9375.1+21547.6+25298+21486.9+2916.5+66015.4+25467+21650+429854.9+240000+707000+843524.7+12500+70267.8+294703.9+228243.2+157435.2+270871.8+26610+102712.5+388144.6+115805.8+15000</f>
        <v>11640342.199999999</v>
      </c>
      <c r="H87" s="220">
        <f t="shared" si="15"/>
        <v>89.6</v>
      </c>
      <c r="I87" s="53" t="s">
        <v>236</v>
      </c>
      <c r="J87" s="53" t="s">
        <v>121</v>
      </c>
      <c r="K87" s="52" t="s">
        <v>259</v>
      </c>
      <c r="L87" s="52" t="s">
        <v>489</v>
      </c>
      <c r="M87" s="57" t="s">
        <v>111</v>
      </c>
      <c r="N87" s="198"/>
    </row>
    <row r="88" spans="1:14" s="30" customFormat="1" ht="15" customHeight="1">
      <c r="A88" s="120" t="s">
        <v>73</v>
      </c>
      <c r="B88" s="89"/>
      <c r="C88" s="89"/>
      <c r="D88" s="89"/>
      <c r="E88" s="89"/>
      <c r="F88" s="228"/>
      <c r="G88" s="228"/>
      <c r="H88" s="86"/>
      <c r="I88" s="89"/>
      <c r="J88" s="89"/>
      <c r="K88" s="89"/>
      <c r="L88" s="89"/>
      <c r="M88" s="149"/>
      <c r="N88" s="198"/>
    </row>
    <row r="89" spans="1:14" s="30" customFormat="1" ht="15" customHeight="1">
      <c r="A89" s="107" t="s">
        <v>63</v>
      </c>
      <c r="B89" s="50" t="s">
        <v>426</v>
      </c>
      <c r="C89" s="47">
        <f t="shared" si="13"/>
        <v>2</v>
      </c>
      <c r="D89" s="68"/>
      <c r="E89" s="48">
        <f t="shared" ref="E89:E99" si="16">C89*(1-D89)</f>
        <v>2</v>
      </c>
      <c r="F89" s="51">
        <f>'1.4'!J89</f>
        <v>25362062.600000001</v>
      </c>
      <c r="G89" s="51">
        <f>312023.1+557389.3+5720+17329.1+21881.6+200000+467.6+3800+659432.3+949223.5+6696.6+4574.1+76409.8+4986.6+12351.3+267300.3+225807.9+39.4+325446.4+223084.8+12617.5+64814.2+12800.9+288162.4+477971.6+2575464.9+7938639.5+33286.4+47614.2+1297072.1+23813+2150+59109.1+8021.6+818935.7+133214.4+2110+25427.6+536563.8+29258.4+8453.9+121782.4+2500+4490+1115037.7+96500+4884.8+7125+23490.5+25468+124386.1+13510+18431.8+287634+352667.4+17858.4+3655.4+4400+12129+12138.6+91652.8+867318.8+194749+9236.8+53677.2+42099+1934531.5+229115.9+264508.8+87061.9+29567.1+1219.7+10290.7+49487.6</f>
        <v>24382070.799999993</v>
      </c>
      <c r="H89" s="220">
        <f t="shared" ref="H89:H99" si="17">ROUND(G89/F89*100,1)</f>
        <v>96.1</v>
      </c>
      <c r="I89" s="53" t="s">
        <v>236</v>
      </c>
      <c r="J89" s="53" t="s">
        <v>121</v>
      </c>
      <c r="K89" s="52" t="s">
        <v>265</v>
      </c>
      <c r="L89" s="52" t="s">
        <v>490</v>
      </c>
      <c r="M89" s="57" t="s">
        <v>111</v>
      </c>
      <c r="N89" s="198"/>
    </row>
    <row r="90" spans="1:14" ht="15" customHeight="1">
      <c r="A90" s="107" t="s">
        <v>74</v>
      </c>
      <c r="B90" s="50" t="s">
        <v>428</v>
      </c>
      <c r="C90" s="47">
        <f t="shared" si="13"/>
        <v>0</v>
      </c>
      <c r="D90" s="68"/>
      <c r="E90" s="48">
        <f t="shared" si="16"/>
        <v>0</v>
      </c>
      <c r="F90" s="51" t="s">
        <v>618</v>
      </c>
      <c r="G90" s="51">
        <f>45087.89+19524.29+480030+872746.75+219462.42+251182+316281.3+1041895.45+8453.91</f>
        <v>3254664.01</v>
      </c>
      <c r="H90" s="220" t="s">
        <v>111</v>
      </c>
      <c r="I90" s="53" t="s">
        <v>617</v>
      </c>
      <c r="J90" s="53" t="s">
        <v>121</v>
      </c>
      <c r="K90" s="52" t="s">
        <v>259</v>
      </c>
      <c r="L90" s="52" t="s">
        <v>267</v>
      </c>
      <c r="M90" s="57" t="s">
        <v>624</v>
      </c>
      <c r="N90" s="198" t="s">
        <v>111</v>
      </c>
    </row>
    <row r="91" spans="1:14" ht="15" customHeight="1">
      <c r="A91" s="107" t="s">
        <v>67</v>
      </c>
      <c r="B91" s="50" t="s">
        <v>426</v>
      </c>
      <c r="C91" s="47">
        <f t="shared" si="13"/>
        <v>2</v>
      </c>
      <c r="D91" s="68">
        <v>0.5</v>
      </c>
      <c r="E91" s="48">
        <f t="shared" si="16"/>
        <v>1</v>
      </c>
      <c r="F91" s="51">
        <f>'1.4'!J91</f>
        <v>5638952.5999999996</v>
      </c>
      <c r="G91" s="51">
        <f>1159.2+112184.9+200000+1088.1+40053+710224.8+160000+3113.5+46487.1+4172+15000+70399.4+956172.9+18963.5+16536.3+2056862.4+8460.6+29648.1+189511.3+14646.8+281188.5</f>
        <v>4935872.3999999985</v>
      </c>
      <c r="H91" s="220">
        <f t="shared" si="17"/>
        <v>87.5</v>
      </c>
      <c r="I91" s="53" t="s">
        <v>236</v>
      </c>
      <c r="J91" s="53" t="s">
        <v>122</v>
      </c>
      <c r="K91" s="52" t="s">
        <v>282</v>
      </c>
      <c r="L91" s="52" t="s">
        <v>493</v>
      </c>
      <c r="M91" s="57" t="s">
        <v>255</v>
      </c>
      <c r="N91" s="198" t="s">
        <v>111</v>
      </c>
    </row>
    <row r="92" spans="1:14" s="30" customFormat="1" ht="15" customHeight="1">
      <c r="A92" s="107" t="s">
        <v>75</v>
      </c>
      <c r="B92" s="50" t="s">
        <v>426</v>
      </c>
      <c r="C92" s="47">
        <f t="shared" si="13"/>
        <v>2</v>
      </c>
      <c r="D92" s="68"/>
      <c r="E92" s="48">
        <f t="shared" si="16"/>
        <v>2</v>
      </c>
      <c r="F92" s="51">
        <f>'1.4'!J92</f>
        <v>5808307.3542999998</v>
      </c>
      <c r="G92" s="51">
        <v>4542052.5356099997</v>
      </c>
      <c r="H92" s="220">
        <f t="shared" si="17"/>
        <v>78.2</v>
      </c>
      <c r="I92" s="53" t="s">
        <v>236</v>
      </c>
      <c r="J92" s="53" t="s">
        <v>121</v>
      </c>
      <c r="K92" s="52" t="s">
        <v>265</v>
      </c>
      <c r="L92" s="57" t="s">
        <v>288</v>
      </c>
      <c r="M92" s="57" t="s">
        <v>111</v>
      </c>
      <c r="N92" s="198"/>
    </row>
    <row r="93" spans="1:14" s="30" customFormat="1" ht="15" customHeight="1">
      <c r="A93" s="107" t="s">
        <v>553</v>
      </c>
      <c r="B93" s="50" t="s">
        <v>426</v>
      </c>
      <c r="C93" s="47">
        <f t="shared" si="13"/>
        <v>2</v>
      </c>
      <c r="D93" s="68"/>
      <c r="E93" s="48">
        <f t="shared" si="16"/>
        <v>2</v>
      </c>
      <c r="F93" s="51">
        <f>'1.4'!J93</f>
        <v>17336515.179580003</v>
      </c>
      <c r="G93" s="144">
        <f>(149992999.2+536876497.96+2063681751.3+20227653.06+206450708.62+446241785.72+98688750.71+189635590+279400000+239300000+411364410+119047609+44268117.58+298787494.38+44021600.6+153678110.32+17631578.95+110819796.2+18606403.16+5000000+50000000+5712170+1737380.95+13841428.57+119251900+9133690.48+31434950.83+1277346509.3+332026584.85+4950000+216862213.91+252452044.52+44269592.2+235267100+29655579.12+381184581.47+50000000+100000000+26283108+9935075.81+110176176.9+118626730+241031490+3510305.58+4670000+64000000+53629695+331162080+92857142.86+9000000+17635470+188332600+477408342.55+900649988.52+412387607.55+452220566.27+15000000+1137371273.18+135762511.73+270064800+216975218.44+3792976.19+100000000+30220831.39+321167551.02+160790106.46+28473877.56+5673609.1+5914642.86+1843809.52+537561836.74+600000000+5000000+138051643.29+14931785.71+8694893.65+2551020.41+806000000+160000000+4950000+130305300+25510204.08+34699300)/1000</f>
        <v>17023670.153329998</v>
      </c>
      <c r="H93" s="220">
        <f t="shared" si="17"/>
        <v>98.2</v>
      </c>
      <c r="I93" s="53" t="s">
        <v>236</v>
      </c>
      <c r="J93" s="53" t="s">
        <v>121</v>
      </c>
      <c r="K93" s="52" t="s">
        <v>465</v>
      </c>
      <c r="L93" s="52" t="s">
        <v>267</v>
      </c>
      <c r="M93" s="57" t="s">
        <v>111</v>
      </c>
      <c r="N93" s="198"/>
    </row>
    <row r="94" spans="1:14" ht="15" customHeight="1">
      <c r="A94" s="107" t="s">
        <v>76</v>
      </c>
      <c r="B94" s="50" t="s">
        <v>428</v>
      </c>
      <c r="C94" s="47">
        <f t="shared" si="13"/>
        <v>0</v>
      </c>
      <c r="D94" s="68"/>
      <c r="E94" s="48">
        <f t="shared" si="16"/>
        <v>0</v>
      </c>
      <c r="F94" s="51">
        <f>'1.4'!J94</f>
        <v>6671181.5300000003</v>
      </c>
      <c r="G94" s="51">
        <f>8025.8+8500+1662.15+716705.15+287064.28+2100+42171.34+918954.74+24930+10655.95+7194.34+5630.78+5631.75+856679.59+169548.23</f>
        <v>3065454.1</v>
      </c>
      <c r="H94" s="220">
        <f t="shared" si="17"/>
        <v>46</v>
      </c>
      <c r="I94" s="53" t="s">
        <v>236</v>
      </c>
      <c r="J94" s="53" t="s">
        <v>121</v>
      </c>
      <c r="K94" s="52" t="s">
        <v>265</v>
      </c>
      <c r="L94" s="52" t="s">
        <v>289</v>
      </c>
      <c r="M94" s="57" t="s">
        <v>642</v>
      </c>
      <c r="N94" s="198" t="s">
        <v>111</v>
      </c>
    </row>
    <row r="95" spans="1:14" ht="15" customHeight="1">
      <c r="A95" s="107" t="s">
        <v>77</v>
      </c>
      <c r="B95" s="50" t="s">
        <v>426</v>
      </c>
      <c r="C95" s="47">
        <f t="shared" si="13"/>
        <v>2</v>
      </c>
      <c r="D95" s="68"/>
      <c r="E95" s="48">
        <f t="shared" si="16"/>
        <v>2</v>
      </c>
      <c r="F95" s="51">
        <f>'1.4'!J95</f>
        <v>15019304.300000001</v>
      </c>
      <c r="G95" s="51">
        <f>3955.6+22025.6+4437526.8+2029.9+850+90+185082.5+30000+5943.7+60742.3+421094.6+338169.4+136575.5+513365.5+831600+796849.4+1751302+543213.8+210237.4+24162.3+589139.4+13536+10000+141946.4+307654.1+52500+43500+272242.5+108323+103443.5+47235.3+48207.9+11929.7+107307.9+14565.4+84577.1+29812.5+30000+110105+643220.7+20947.5+97873+221152.1+310835.8+97536.6+152400+608500+5763.2+22000+3880.3+155267.4+64045.9+2806.8</f>
        <v>14847071.300000004</v>
      </c>
      <c r="H95" s="220">
        <f t="shared" si="17"/>
        <v>98.9</v>
      </c>
      <c r="I95" s="53" t="s">
        <v>236</v>
      </c>
      <c r="J95" s="53" t="s">
        <v>121</v>
      </c>
      <c r="K95" s="52" t="s">
        <v>263</v>
      </c>
      <c r="L95" s="52" t="s">
        <v>492</v>
      </c>
      <c r="M95" s="57" t="s">
        <v>111</v>
      </c>
    </row>
    <row r="96" spans="1:14" ht="15" customHeight="1">
      <c r="A96" s="107" t="s">
        <v>78</v>
      </c>
      <c r="B96" s="50" t="s">
        <v>428</v>
      </c>
      <c r="C96" s="47">
        <f t="shared" si="13"/>
        <v>0</v>
      </c>
      <c r="D96" s="68"/>
      <c r="E96" s="48">
        <f t="shared" si="16"/>
        <v>0</v>
      </c>
      <c r="F96" s="51">
        <f>'1.4'!J96</f>
        <v>1383383.976</v>
      </c>
      <c r="G96" s="51" t="s">
        <v>618</v>
      </c>
      <c r="H96" s="220" t="s">
        <v>111</v>
      </c>
      <c r="I96" s="53" t="s">
        <v>236</v>
      </c>
      <c r="J96" s="53" t="s">
        <v>121</v>
      </c>
      <c r="K96" s="52" t="s">
        <v>263</v>
      </c>
      <c r="L96" s="52" t="s">
        <v>269</v>
      </c>
      <c r="M96" s="50" t="s">
        <v>657</v>
      </c>
      <c r="N96" s="198" t="s">
        <v>111</v>
      </c>
    </row>
    <row r="97" spans="1:14" s="30" customFormat="1" ht="15" customHeight="1">
      <c r="A97" s="107" t="s">
        <v>79</v>
      </c>
      <c r="B97" s="50" t="s">
        <v>426</v>
      </c>
      <c r="C97" s="47">
        <f t="shared" si="13"/>
        <v>2</v>
      </c>
      <c r="D97" s="68"/>
      <c r="E97" s="48">
        <f t="shared" si="16"/>
        <v>2</v>
      </c>
      <c r="F97" s="51">
        <f>'1.4'!J97</f>
        <v>24500537.300000001</v>
      </c>
      <c r="G97" s="51">
        <f>1079336.4+1380118.5+320000+1343917.7+243720.9+17846.6+340858.3+267060.9+3203052+102716+632281.5+177898.1+18578.4+12390929.7+12196+25000+53059.7+726388.5+8924.5+31446.2+4660+63205.1</f>
        <v>22443195</v>
      </c>
      <c r="H97" s="220">
        <f t="shared" si="17"/>
        <v>91.6</v>
      </c>
      <c r="I97" s="53" t="s">
        <v>236</v>
      </c>
      <c r="J97" s="53" t="s">
        <v>121</v>
      </c>
      <c r="K97" s="52" t="s">
        <v>286</v>
      </c>
      <c r="L97" s="52" t="s">
        <v>267</v>
      </c>
      <c r="M97" s="57" t="s">
        <v>111</v>
      </c>
      <c r="N97" s="198"/>
    </row>
    <row r="98" spans="1:14" s="30" customFormat="1" ht="15" customHeight="1">
      <c r="A98" s="107" t="s">
        <v>80</v>
      </c>
      <c r="B98" s="50" t="s">
        <v>426</v>
      </c>
      <c r="C98" s="47">
        <f t="shared" si="13"/>
        <v>2</v>
      </c>
      <c r="D98" s="68"/>
      <c r="E98" s="48">
        <f t="shared" si="16"/>
        <v>2</v>
      </c>
      <c r="F98" s="51">
        <f>'1.4'!J98</f>
        <v>1038960.6</v>
      </c>
      <c r="G98" s="51">
        <f>7300+910.8+127790.4+87805.4+16794.3+956+2122.7+347425.5+86666.7+3676.1+41750.9+19205.6+100000+60606.1+421+14000+2811.4+1455.5+1071.3+101010.1</f>
        <v>1023779.7999999999</v>
      </c>
      <c r="H98" s="220">
        <f t="shared" si="17"/>
        <v>98.5</v>
      </c>
      <c r="I98" s="53" t="s">
        <v>236</v>
      </c>
      <c r="J98" s="53" t="s">
        <v>121</v>
      </c>
      <c r="K98" s="52" t="s">
        <v>208</v>
      </c>
      <c r="L98" s="52" t="s">
        <v>491</v>
      </c>
      <c r="M98" s="57" t="s">
        <v>111</v>
      </c>
      <c r="N98" s="198"/>
    </row>
    <row r="99" spans="1:14" s="30" customFormat="1" ht="15" customHeight="1">
      <c r="A99" s="107" t="s">
        <v>81</v>
      </c>
      <c r="B99" s="50" t="s">
        <v>426</v>
      </c>
      <c r="C99" s="47">
        <f t="shared" si="13"/>
        <v>2</v>
      </c>
      <c r="D99" s="68"/>
      <c r="E99" s="48">
        <f t="shared" si="16"/>
        <v>2</v>
      </c>
      <c r="F99" s="51">
        <f>'1.4'!J99</f>
        <v>3179922.4</v>
      </c>
      <c r="G99" s="51">
        <f>20000+6000+1873.9+82105.3+33555.3+12818.9+3265.3+8500+3500+5790.9+31835.4+8148.6+31851+48000+62000+500000+5128.8+2668.9+60747.2+30996.2+35000+37780.9+23725.1+2380+292+1400+91518.1+7000+650+51597.1+12642.4+5000+26765.3+6795.4+10264.4+10602.7+294857.3+5000+14600+236141.5+493389.1+500+102040.8+664108.9+54191.7+2202.2</f>
        <v>3149230.6</v>
      </c>
      <c r="H99" s="220">
        <f t="shared" si="17"/>
        <v>99</v>
      </c>
      <c r="I99" s="53" t="s">
        <v>236</v>
      </c>
      <c r="J99" s="53" t="s">
        <v>121</v>
      </c>
      <c r="K99" s="52" t="s">
        <v>272</v>
      </c>
      <c r="L99" s="52" t="s">
        <v>283</v>
      </c>
      <c r="M99" s="57" t="s">
        <v>111</v>
      </c>
      <c r="N99" s="198"/>
    </row>
    <row r="100" spans="1:14">
      <c r="A100" s="29" t="s">
        <v>672</v>
      </c>
      <c r="M100" s="63"/>
    </row>
    <row r="101" spans="1:14">
      <c r="A101" s="29" t="s">
        <v>188</v>
      </c>
      <c r="E101" s="64"/>
      <c r="M101" s="63"/>
    </row>
    <row r="102" spans="1:14">
      <c r="A102" s="29" t="s">
        <v>646</v>
      </c>
      <c r="M102" s="63"/>
    </row>
    <row r="103" spans="1:14">
      <c r="M103" s="63"/>
    </row>
    <row r="104" spans="1:14">
      <c r="M104" s="63"/>
    </row>
    <row r="105" spans="1:14">
      <c r="M105" s="63"/>
    </row>
    <row r="106" spans="1:14">
      <c r="M106" s="63"/>
    </row>
    <row r="107" spans="1:14">
      <c r="A107" s="4"/>
      <c r="B107" s="4"/>
      <c r="C107" s="4"/>
      <c r="D107" s="65"/>
      <c r="E107" s="64"/>
      <c r="F107" s="230"/>
      <c r="G107" s="230"/>
      <c r="H107" s="223"/>
      <c r="I107" s="225"/>
      <c r="J107" s="225"/>
      <c r="K107" s="66"/>
      <c r="L107" s="66"/>
      <c r="M107" s="63"/>
    </row>
    <row r="108" spans="1:14">
      <c r="M108" s="63"/>
    </row>
    <row r="109" spans="1:14">
      <c r="M109" s="63"/>
    </row>
    <row r="110" spans="1:14">
      <c r="M110" s="63"/>
    </row>
    <row r="111" spans="1:14">
      <c r="A111" s="4"/>
      <c r="B111" s="4"/>
      <c r="C111" s="4"/>
      <c r="D111" s="65"/>
      <c r="E111" s="64"/>
      <c r="F111" s="230"/>
      <c r="G111" s="230"/>
      <c r="H111" s="223"/>
      <c r="I111" s="225"/>
      <c r="J111" s="225"/>
      <c r="K111" s="66"/>
      <c r="L111" s="66"/>
      <c r="M111" s="63"/>
    </row>
    <row r="112" spans="1:14" s="2" customFormat="1" ht="12">
      <c r="A112" s="3"/>
      <c r="B112" s="3"/>
      <c r="C112" s="3"/>
      <c r="D112" s="60"/>
      <c r="E112" s="61"/>
      <c r="F112" s="229"/>
      <c r="G112" s="229"/>
      <c r="H112" s="222"/>
      <c r="I112" s="224"/>
      <c r="J112" s="224"/>
      <c r="K112" s="62"/>
      <c r="L112" s="62"/>
      <c r="M112" s="67"/>
      <c r="N112" s="198"/>
    </row>
    <row r="113" spans="1:14">
      <c r="M113" s="63"/>
    </row>
    <row r="114" spans="1:14">
      <c r="A114" s="4"/>
      <c r="B114" s="4"/>
      <c r="C114" s="4"/>
      <c r="D114" s="65"/>
      <c r="E114" s="64"/>
      <c r="F114" s="230"/>
      <c r="G114" s="230"/>
      <c r="H114" s="223"/>
      <c r="I114" s="225"/>
      <c r="J114" s="225"/>
      <c r="K114" s="66"/>
      <c r="L114" s="66"/>
      <c r="M114" s="63"/>
    </row>
    <row r="115" spans="1:14" s="2" customFormat="1" ht="12">
      <c r="A115" s="3"/>
      <c r="B115" s="3"/>
      <c r="C115" s="3"/>
      <c r="D115" s="60"/>
      <c r="E115" s="61"/>
      <c r="F115" s="229"/>
      <c r="G115" s="229"/>
      <c r="H115" s="222"/>
      <c r="I115" s="224"/>
      <c r="J115" s="224"/>
      <c r="K115" s="62"/>
      <c r="L115" s="62"/>
      <c r="M115" s="67"/>
      <c r="N115" s="198"/>
    </row>
    <row r="116" spans="1:14">
      <c r="M116" s="63"/>
    </row>
    <row r="117" spans="1:14">
      <c r="M117" s="63"/>
    </row>
    <row r="118" spans="1:14">
      <c r="A118" s="4"/>
      <c r="B118" s="4"/>
      <c r="C118" s="4"/>
      <c r="D118" s="65"/>
      <c r="E118" s="64"/>
      <c r="F118" s="230"/>
      <c r="G118" s="230"/>
      <c r="H118" s="223"/>
      <c r="I118" s="225"/>
      <c r="J118" s="225"/>
      <c r="K118" s="66"/>
      <c r="L118" s="66"/>
    </row>
    <row r="119" spans="1:14" s="2" customFormat="1" ht="12">
      <c r="A119" s="3"/>
      <c r="B119" s="3"/>
      <c r="C119" s="3"/>
      <c r="D119" s="60"/>
      <c r="E119" s="61"/>
      <c r="F119" s="229"/>
      <c r="G119" s="229"/>
      <c r="H119" s="222"/>
      <c r="I119" s="224"/>
      <c r="J119" s="224"/>
      <c r="K119" s="62"/>
      <c r="L119" s="62"/>
      <c r="N119" s="198"/>
    </row>
  </sheetData>
  <mergeCells count="16">
    <mergeCell ref="K4:K6"/>
    <mergeCell ref="L4:L6"/>
    <mergeCell ref="J3:J6"/>
    <mergeCell ref="A1:M1"/>
    <mergeCell ref="A2:M2"/>
    <mergeCell ref="M3:M6"/>
    <mergeCell ref="D4:D6"/>
    <mergeCell ref="A3:A6"/>
    <mergeCell ref="C3:E3"/>
    <mergeCell ref="C4:C6"/>
    <mergeCell ref="E4:E6"/>
    <mergeCell ref="F3:F6"/>
    <mergeCell ref="G3:G6"/>
    <mergeCell ref="H3:H6"/>
    <mergeCell ref="I3:I6"/>
    <mergeCell ref="K3:L3"/>
  </mergeCells>
  <dataValidations count="4">
    <dataValidation type="list" allowBlank="1" showInputMessage="1" showErrorMessage="1" sqref="D37 D39:D45 D48:D54 D78:D87 D8:D24 D56:D69 D89:D99 D27:D35 D71:D76" xr:uid="{00000000-0002-0000-0700-000000000000}">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D7" xr:uid="{00000000-0002-0000-0700-000001000000}">
      <formula1>"0,5"</formula1>
    </dataValidation>
    <dataValidation type="list" allowBlank="1" showInputMessage="1" showErrorMessage="1" sqref="B7 I7:J7" xr:uid="{00000000-0002-0000-0700-000002000000}">
      <formula1>#REF!</formula1>
    </dataValidation>
    <dataValidation type="list" allowBlank="1" showInputMessage="1" showErrorMessage="1" sqref="B27:B35 B78:B87 B39:B45 B71:B76 B56:B69 B8:B24 B37 B89:B99 B48:B54" xr:uid="{00000000-0002-0000-0700-000003000000}">
      <formula1>$B$4:$B$6</formula1>
    </dataValidation>
  </dataValidations>
  <pageMargins left="0.70866141732283472" right="0.70866141732283472" top="0.74803149606299213" bottom="0.74803149606299213" header="0.31496062992125984" footer="0.31496062992125984"/>
  <pageSetup paperSize="9" scale="61" fitToHeight="3" orientation="landscape" r:id="rId1"/>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6AD21D-BF8B-40B6-97B6-691ADCA72C8B}">
  <ds:schemaRefs>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b1e5bdc4-b57e-4af5-8c56-e26e352185e0"/>
    <ds:schemaRef ds:uri="http://purl.org/dc/dcmityp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4.xml><?xml version="1.0" encoding="utf-8"?>
<ds:datastoreItem xmlns:ds="http://schemas.openxmlformats.org/officeDocument/2006/customXml" ds:itemID="{27C23373-14F2-4B7C-AFBE-B3A8ACE35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8</vt:i4>
      </vt:variant>
      <vt:variant>
        <vt:lpstr>Именованные диапазоны</vt:lpstr>
      </vt:variant>
      <vt:variant>
        <vt:i4>18</vt:i4>
      </vt:variant>
    </vt:vector>
  </HeadingPairs>
  <TitlesOfParts>
    <vt:vector size="26" baseType="lpstr">
      <vt:lpstr>Рейтинг (раздел 1)</vt:lpstr>
      <vt:lpstr>Оценка (раздел 1)</vt:lpstr>
      <vt:lpstr>Методика (раздел 1)</vt:lpstr>
      <vt:lpstr>1.1</vt:lpstr>
      <vt:lpstr>1.2</vt:lpstr>
      <vt:lpstr>1.3</vt:lpstr>
      <vt:lpstr>1.4</vt:lpstr>
      <vt:lpstr>1.5</vt:lpstr>
      <vt:lpstr>'Методика (раздел 1)'!_Toc262683</vt:lpstr>
      <vt:lpstr>'Методика (раздел 1)'!_Toc510692579</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'Методика (раздел 1)'!Заголовки_для_печати</vt:lpstr>
      <vt:lpstr>'Оценка (раздел 1)'!Заголовки_для_печати</vt:lpstr>
      <vt:lpstr>'Рейтинг (раздел 1)'!Заголовки_для_печати</vt:lpstr>
      <vt:lpstr>'1.1'!Область_печати</vt:lpstr>
      <vt:lpstr>'1.2'!Область_печати</vt:lpstr>
      <vt:lpstr>'1.3'!Область_печати</vt:lpstr>
      <vt:lpstr>'1.4'!Область_печати</vt:lpstr>
      <vt:lpstr>'1.5'!Область_печати</vt:lpstr>
      <vt:lpstr>'Методика (раздел 1)'!Область_печати</vt:lpstr>
      <vt:lpstr>'Оценка (раздел 1)'!Область_печати</vt:lpstr>
      <vt:lpstr>'Рейтинг (раздел 1)'!Область_печати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Ольга Тимофеева</cp:lastModifiedBy>
  <cp:lastPrinted>2020-05-26T10:06:55Z</cp:lastPrinted>
  <dcterms:created xsi:type="dcterms:W3CDTF">2015-12-18T16:44:35Z</dcterms:created>
  <dcterms:modified xsi:type="dcterms:W3CDTF">2024-04-26T11:44:42Z</dcterms:modified>
  <cp:category/>
</cp:coreProperties>
</file>